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31" windowWidth="12120" windowHeight="8130" activeTab="0"/>
  </bookViews>
  <sheets>
    <sheet name="Линия 60 м3 промышленный пар" sheetId="1" r:id="rId1"/>
    <sheet name="Линия 60 м3 газовый ПГ" sheetId="2" r:id="rId2"/>
    <sheet name="Линия 60 м3 электрический ПГ" sheetId="3" r:id="rId3"/>
  </sheets>
  <definedNames/>
  <calcPr fullCalcOnLoad="1"/>
</workbook>
</file>

<file path=xl/sharedStrings.xml><?xml version="1.0" encoding="utf-8"?>
<sst xmlns="http://schemas.openxmlformats.org/spreadsheetml/2006/main" count="373" uniqueCount="139">
  <si>
    <t>Наименование</t>
  </si>
  <si>
    <t>Примечание</t>
  </si>
  <si>
    <t>Ед.изм.</t>
  </si>
  <si>
    <t>Количество рабочих дней</t>
  </si>
  <si>
    <t>Продолжительность смены,ч</t>
  </si>
  <si>
    <t>Количество смен в сутки</t>
  </si>
  <si>
    <t>№</t>
  </si>
  <si>
    <t>Итого</t>
  </si>
  <si>
    <t>Предвспениватель</t>
  </si>
  <si>
    <t>ИТОГО</t>
  </si>
  <si>
    <t>тн</t>
  </si>
  <si>
    <t>Электроэнергия</t>
  </si>
  <si>
    <t>Оборудование</t>
  </si>
  <si>
    <t>Общее</t>
  </si>
  <si>
    <t>Освещение</t>
  </si>
  <si>
    <t>ИТОГО, электроэнергия</t>
  </si>
  <si>
    <t>ПСБ-С-25</t>
  </si>
  <si>
    <t>Участок</t>
  </si>
  <si>
    <t>Чел.</t>
  </si>
  <si>
    <t>Оклад</t>
  </si>
  <si>
    <t>ВСЕГО в месяц</t>
  </si>
  <si>
    <t>Аренда</t>
  </si>
  <si>
    <t>кг</t>
  </si>
  <si>
    <t>Вид затрат</t>
  </si>
  <si>
    <t>за месяц</t>
  </si>
  <si>
    <t>Оплата труда</t>
  </si>
  <si>
    <t>Амортизация</t>
  </si>
  <si>
    <t>Итоги</t>
  </si>
  <si>
    <t>Срок окупаемости, дней</t>
  </si>
  <si>
    <t>E-mail:</t>
  </si>
  <si>
    <t>URL:</t>
  </si>
  <si>
    <t>Мощность, кВт/час</t>
  </si>
  <si>
    <t>Компрессор</t>
  </si>
  <si>
    <t>Кол-во, шт.</t>
  </si>
  <si>
    <t>Прибыль в день всего, руб.</t>
  </si>
  <si>
    <t>кВт/ч</t>
  </si>
  <si>
    <t>Источник пара, кг/час, не менее</t>
  </si>
  <si>
    <t>Агрегаты для резки</t>
  </si>
  <si>
    <t>Себестоимость 1 куб.м, руб.</t>
  </si>
  <si>
    <t>Рентабельность, %</t>
  </si>
  <si>
    <t>В смену, ч</t>
  </si>
  <si>
    <t>Установка вакуумирования</t>
  </si>
  <si>
    <r>
      <t>Производительность одной блок-формы, 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>/ч</t>
    </r>
  </si>
  <si>
    <t>Вентилятор</t>
  </si>
  <si>
    <r>
      <t>Производительность в смену, м</t>
    </r>
    <r>
      <rPr>
        <vertAlign val="superscript"/>
        <sz val="9"/>
        <rFont val="Arial Cyr"/>
        <family val="2"/>
      </rPr>
      <t>3</t>
    </r>
  </si>
  <si>
    <r>
      <t>Потребление пара на 1 м</t>
    </r>
    <r>
      <rPr>
        <vertAlign val="superscript"/>
        <sz val="10"/>
        <rFont val="Arial CYR"/>
        <family val="2"/>
      </rPr>
      <t xml:space="preserve">3 </t>
    </r>
    <r>
      <rPr>
        <sz val="10"/>
        <rFont val="Arial Cyr"/>
        <family val="2"/>
      </rPr>
      <t>ППС</t>
    </r>
  </si>
  <si>
    <t>Вид изделия, марка</t>
  </si>
  <si>
    <t>плита, ПСБ-С-25</t>
  </si>
  <si>
    <r>
      <t>Производительность за сутки, м</t>
    </r>
    <r>
      <rPr>
        <vertAlign val="superscript"/>
        <sz val="9"/>
        <rFont val="Arial Cyr"/>
        <family val="2"/>
      </rPr>
      <t>3</t>
    </r>
  </si>
  <si>
    <t>Амортизация за год в зависимости от сменности работы цеха, руб.</t>
  </si>
  <si>
    <t>% в смену</t>
  </si>
  <si>
    <t>1 смена</t>
  </si>
  <si>
    <t>2 смены</t>
  </si>
  <si>
    <t>3 смены</t>
  </si>
  <si>
    <t>* в стоимость входят обучение персонала и консультации.</t>
  </si>
  <si>
    <t>Итого, кВт'ч/смену</t>
  </si>
  <si>
    <t>Дробилка отходов</t>
  </si>
  <si>
    <t>Аренда помещения</t>
  </si>
  <si>
    <r>
      <t>м</t>
    </r>
    <r>
      <rPr>
        <vertAlign val="superscript"/>
        <sz val="10"/>
        <rFont val="Arial CYR"/>
        <family val="2"/>
      </rPr>
      <t>2</t>
    </r>
  </si>
  <si>
    <t>цена, руб</t>
  </si>
  <si>
    <t>Сумма, руб.</t>
  </si>
  <si>
    <r>
      <t>Вес 1 м</t>
    </r>
    <r>
      <rPr>
        <b/>
        <vertAlign val="superscript"/>
        <sz val="10"/>
        <rFont val="Arial Cyr"/>
        <family val="2"/>
      </rPr>
      <t>3</t>
    </r>
  </si>
  <si>
    <r>
      <t>на 1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 xml:space="preserve"> ППС</t>
    </r>
  </si>
  <si>
    <t>Налог на прибыль (24%), руб.</t>
  </si>
  <si>
    <t>БИЗНЕС-ПЛАН (ТЕХНИКО-ЭКОНОМИЧЕСКОЕ ОБОСНОВАНИЕ) ОРГАНИЗАЦИИ  ПРОИЗВОДСТВА  ППС  марки  ПСБ-С-25</t>
  </si>
  <si>
    <t>Таблица9. ИТОГОВЫЕ  РАСЧЕТЫ  производства  ПСБ-С-25</t>
  </si>
  <si>
    <t>Таблица1. ИСХОДНЫЕ  ДАННЫЕ</t>
  </si>
  <si>
    <t>Таблица2. НАЧАЛЬНЫЕ  ВЛОЖЕНИЯ</t>
  </si>
  <si>
    <t>Таблица3. ПОТРЕБЛЕНИЕ  ЭЛЕКТРОЭНЕРГИИ  и  ПАРА  за одну смену</t>
  </si>
  <si>
    <t>Таблица6. СТОИМОСТЬ  ЭНЕРГОНОСИТЕЛЕЙ  И  МАТЕРИАЛОВ</t>
  </si>
  <si>
    <r>
      <t>Таблица7. СТОИМОСТЬ  МАТЕРИАЛОВ  на 1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 xml:space="preserve"> пенополистирола</t>
    </r>
  </si>
  <si>
    <t>Таблица8. ТЕКУЩИЕ  ЗАТРАТЫ  в зависимости от сменности работы цеха (руб.)</t>
  </si>
  <si>
    <t>Таблица4. ОКЛАД  В  МЕСЯЦ  (в рублях)</t>
  </si>
  <si>
    <t>ЕСН, 27,7%</t>
  </si>
  <si>
    <t>Прибыль до налогооблажения на 1 куб.м., руб</t>
  </si>
  <si>
    <t>Оператор предвспенивателя и резки</t>
  </si>
  <si>
    <t>Оператор блок-формы</t>
  </si>
  <si>
    <t>Loyal Chemical</t>
  </si>
  <si>
    <t>Прибыль c 1 куб.м, руб</t>
  </si>
  <si>
    <t>ГП "Вяткастройдеталь"</t>
  </si>
  <si>
    <r>
      <t>Рабочий объём блок-формы, м</t>
    </r>
    <r>
      <rPr>
        <vertAlign val="superscript"/>
        <sz val="9"/>
        <rFont val="Arial Cyr"/>
        <family val="2"/>
      </rPr>
      <t>3</t>
    </r>
  </si>
  <si>
    <t>помещение 240 м2</t>
  </si>
  <si>
    <t>Тел</t>
  </si>
  <si>
    <t>Тел/факс</t>
  </si>
  <si>
    <t>(8332) 521-121; 522-661</t>
  </si>
  <si>
    <t>(8332) 51-33-22</t>
  </si>
  <si>
    <t>Loyal Chemical сырье</t>
  </si>
  <si>
    <t>в среднем, в т.ч. доставка</t>
  </si>
  <si>
    <t>Цена, руб. без НДС</t>
  </si>
  <si>
    <t>Рыночная цена 1 куб.м, руб., без НДС</t>
  </si>
  <si>
    <t>Гкал/час</t>
  </si>
  <si>
    <t>Итого, Гкал</t>
  </si>
  <si>
    <t>Блок-форма</t>
  </si>
  <si>
    <t>ИТОГО, пром. Пар</t>
  </si>
  <si>
    <t>При расчётах принято 1 Гкал=</t>
  </si>
  <si>
    <t>кг пара</t>
  </si>
  <si>
    <t>Промышленный пар</t>
  </si>
  <si>
    <t>Гкал</t>
  </si>
  <si>
    <t>Средняя по г. Кирову</t>
  </si>
  <si>
    <t>Рыночная цена 1 куб.м, руб. без НДС</t>
  </si>
  <si>
    <t>* в стоимость входят электрический парогенератор, обучение персонала и консультации.</t>
  </si>
  <si>
    <t>Паровой котёл КЭП-150/0,4</t>
  </si>
  <si>
    <r>
      <t xml:space="preserve">(Расчёт для одно-, двух-, трёхсменной работы цеха с использованием </t>
    </r>
    <r>
      <rPr>
        <b/>
        <u val="single"/>
        <sz val="10"/>
        <color indexed="10"/>
        <rFont val="Arial Cyr"/>
        <family val="0"/>
      </rPr>
      <t>газ. парогенератора</t>
    </r>
    <r>
      <rPr>
        <b/>
        <u val="single"/>
        <sz val="10"/>
        <rFont val="Arial Cyr"/>
        <family val="0"/>
      </rPr>
      <t>)</t>
    </r>
  </si>
  <si>
    <r>
      <t>Рабочий (полезный) объём блок-формы, м</t>
    </r>
    <r>
      <rPr>
        <vertAlign val="superscript"/>
        <sz val="9"/>
        <rFont val="Arial Cyr"/>
        <family val="2"/>
      </rPr>
      <t>3</t>
    </r>
  </si>
  <si>
    <r>
      <t xml:space="preserve">Цена, руб. </t>
    </r>
    <r>
      <rPr>
        <b/>
        <sz val="10"/>
        <color indexed="10"/>
        <rFont val="Arial Cyr"/>
        <family val="0"/>
      </rPr>
      <t>без НДС</t>
    </r>
  </si>
  <si>
    <t>Амортизация за год</t>
  </si>
  <si>
    <t>%</t>
  </si>
  <si>
    <t>руб.</t>
  </si>
  <si>
    <t>Таблица3. ПОТРЕБЛЕНИЕ  ЭЛЕКТРОЭНЕРГИИ, ГАЗА за одну смену</t>
  </si>
  <si>
    <t>Вентиляторы</t>
  </si>
  <si>
    <t>Парогенератор</t>
  </si>
  <si>
    <t>Потребл-е м3/час</t>
  </si>
  <si>
    <t>Итого, м3/смену</t>
  </si>
  <si>
    <t>Паровой котел газовый</t>
  </si>
  <si>
    <t>Оператор оборудования</t>
  </si>
  <si>
    <t>Сырье ПСВ (импорт)</t>
  </si>
  <si>
    <t>Природный газ</t>
  </si>
  <si>
    <t>м3</t>
  </si>
  <si>
    <t>цена, руб без НДС</t>
  </si>
  <si>
    <t>Налог на прибыль (20%), руб.</t>
  </si>
  <si>
    <t>www.penolider.ru</t>
  </si>
  <si>
    <t>* в стоимость входят газовый парогенератор, обучение персонала и консультации.</t>
  </si>
  <si>
    <t>в среднем по г. Кирову</t>
  </si>
  <si>
    <r>
      <t>ICQ:</t>
    </r>
    <r>
      <rPr>
        <i/>
        <sz val="10"/>
        <color indexed="48"/>
        <rFont val="Arial"/>
        <family val="2"/>
      </rPr>
      <t xml:space="preserve">  </t>
    </r>
    <r>
      <rPr>
        <b/>
        <i/>
        <sz val="10"/>
        <color indexed="48"/>
        <rFont val="Arial"/>
        <family val="2"/>
      </rPr>
      <t>613-645-338</t>
    </r>
    <r>
      <rPr>
        <i/>
        <sz val="10"/>
        <color indexed="48"/>
        <rFont val="Arial"/>
        <family val="2"/>
      </rPr>
      <t xml:space="preserve"> </t>
    </r>
  </si>
  <si>
    <r>
      <t xml:space="preserve">skype: </t>
    </r>
    <r>
      <rPr>
        <b/>
        <i/>
        <sz val="10"/>
        <color indexed="48"/>
        <rFont val="Arial"/>
        <family val="2"/>
      </rPr>
      <t>penolider</t>
    </r>
  </si>
  <si>
    <r>
      <t xml:space="preserve">(Расчёт для одно-, двух-, трёхсменной работы цеха с использованием </t>
    </r>
    <r>
      <rPr>
        <b/>
        <sz val="10"/>
        <color indexed="10"/>
        <rFont val="Arial Cyr"/>
        <family val="0"/>
      </rPr>
      <t>электрического парового котла</t>
    </r>
    <r>
      <rPr>
        <b/>
        <sz val="10"/>
        <rFont val="Arial Cyr"/>
        <family val="2"/>
      </rPr>
      <t>)</t>
    </r>
  </si>
  <si>
    <r>
      <t xml:space="preserve">(Расчёт для одно-, двух-, трёхсменной работы цеха с использованием </t>
    </r>
    <r>
      <rPr>
        <b/>
        <sz val="10"/>
        <color indexed="10"/>
        <rFont val="Arial Cyr"/>
        <family val="0"/>
      </rPr>
      <t>промышленного пара</t>
    </r>
    <r>
      <rPr>
        <b/>
        <sz val="10"/>
        <rFont val="Arial Cyr"/>
        <family val="2"/>
      </rPr>
      <t>)</t>
    </r>
  </si>
  <si>
    <r>
      <t xml:space="preserve">Оборудование </t>
    </r>
    <r>
      <rPr>
        <b/>
        <sz val="10"/>
        <color indexed="10"/>
        <rFont val="Arial Cyr"/>
        <family val="0"/>
      </rPr>
      <t>без НДС</t>
    </r>
  </si>
  <si>
    <r>
      <t xml:space="preserve">Оборудование </t>
    </r>
    <r>
      <rPr>
        <b/>
        <sz val="10"/>
        <color indexed="10"/>
        <rFont val="Arial Cyr"/>
        <family val="0"/>
      </rPr>
      <t>бз НДС</t>
    </r>
  </si>
  <si>
    <t>penolider@v-s-d.ru</t>
  </si>
  <si>
    <t>Таблица2. Оборудование, монтаж, обучение</t>
  </si>
  <si>
    <r>
      <t xml:space="preserve">610035, г. Киров, ул. Производственная, 21 </t>
    </r>
    <r>
      <rPr>
        <b/>
        <vertAlign val="superscript"/>
        <sz val="10"/>
        <rFont val="Arial Cyr"/>
        <family val="2"/>
      </rPr>
      <t>а</t>
    </r>
  </si>
  <si>
    <t>Размеры блок-формы БФ-12, мм х мм х мм</t>
  </si>
  <si>
    <t>Линия производительностью 60 м3/смена</t>
  </si>
  <si>
    <t>600 х 1000 х2000</t>
  </si>
  <si>
    <t>600 х 1000 х 2000</t>
  </si>
  <si>
    <t>газ. котел, 250</t>
  </si>
  <si>
    <t>Электрический котёл, 250</t>
  </si>
  <si>
    <t>промышленный пар, 250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</si>
</sst>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_ ;[Red]\-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_-* #,##0_р_._-;\-* #,##0_р_._-;_-* &quot;-&quot;??_р_._-;_-@_-"/>
    <numFmt numFmtId="170" formatCode="0.0000"/>
    <numFmt numFmtId="171" formatCode="0.000"/>
    <numFmt numFmtId="172" formatCode="#,##0.00_ ;\-#,##0.00\ "/>
    <numFmt numFmtId="173" formatCode="0.0"/>
    <numFmt numFmtId="174" formatCode="0.000000"/>
    <numFmt numFmtId="175" formatCode="0.00000"/>
    <numFmt numFmtId="176" formatCode="0.0000000000"/>
    <numFmt numFmtId="177" formatCode="0.000000000"/>
    <numFmt numFmtId="178" formatCode="0.00000000"/>
    <numFmt numFmtId="179" formatCode="0.0000000"/>
    <numFmt numFmtId="180" formatCode="_-* #,##0.0&quot;р.&quot;_-;\-* #,##0.0&quot;р.&quot;_-;_-* &quot;-&quot;??&quot;р.&quot;_-;_-@_-"/>
    <numFmt numFmtId="181" formatCode="_-* #,##0&quot;р.&quot;_-;\-* #,##0&quot;р.&quot;_-;_-* &quot;-&quot;??&quot;р.&quot;_-;_-@_-"/>
    <numFmt numFmtId="182" formatCode="#,##0_ ;\-#,##0\ "/>
    <numFmt numFmtId="183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8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vertAlign val="superscript"/>
      <sz val="9"/>
      <name val="Arial Cyr"/>
      <family val="2"/>
    </font>
    <font>
      <vertAlign val="superscript"/>
      <sz val="10"/>
      <name val="Arial CYR"/>
      <family val="2"/>
    </font>
    <font>
      <b/>
      <vertAlign val="superscript"/>
      <sz val="10"/>
      <name val="Arial Cyr"/>
      <family val="2"/>
    </font>
    <font>
      <b/>
      <sz val="9"/>
      <name val="Arial Cyr"/>
      <family val="0"/>
    </font>
    <font>
      <b/>
      <sz val="16"/>
      <color indexed="10"/>
      <name val="Arial Cyr"/>
      <family val="0"/>
    </font>
    <font>
      <sz val="8"/>
      <name val="Arial Cyr"/>
      <family val="0"/>
    </font>
    <font>
      <b/>
      <u val="single"/>
      <sz val="10"/>
      <color indexed="10"/>
      <name val="Arial Cyr"/>
      <family val="0"/>
    </font>
    <font>
      <b/>
      <u val="single"/>
      <sz val="10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i/>
      <sz val="10"/>
      <color indexed="48"/>
      <name val="Arial"/>
      <family val="2"/>
    </font>
    <font>
      <i/>
      <sz val="10"/>
      <name val="Arial"/>
      <family val="2"/>
    </font>
    <font>
      <b/>
      <i/>
      <sz val="10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72" fontId="0" fillId="0" borderId="1" xfId="16" applyNumberForma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4" fontId="1" fillId="0" borderId="0" xfId="16" applyFont="1" applyFill="1" applyBorder="1" applyAlignment="1">
      <alignment/>
    </xf>
    <xf numFmtId="44" fontId="1" fillId="0" borderId="0" xfId="16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center"/>
    </xf>
    <xf numFmtId="44" fontId="1" fillId="0" borderId="0" xfId="16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2" fontId="0" fillId="0" borderId="2" xfId="16" applyNumberFormat="1" applyFill="1" applyBorder="1" applyAlignment="1">
      <alignment horizontal="right"/>
    </xf>
    <xf numFmtId="172" fontId="0" fillId="0" borderId="2" xfId="16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vertical="center" wrapText="1"/>
    </xf>
    <xf numFmtId="165" fontId="0" fillId="0" borderId="0" xfId="0" applyNumberForma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1" fillId="3" borderId="5" xfId="0" applyFont="1" applyFill="1" applyBorder="1" applyAlignment="1">
      <alignment/>
    </xf>
    <xf numFmtId="0" fontId="1" fillId="3" borderId="7" xfId="0" applyFont="1" applyFill="1" applyBorder="1" applyAlignment="1">
      <alignment horizontal="left"/>
    </xf>
    <xf numFmtId="173" fontId="0" fillId="3" borderId="7" xfId="0" applyNumberFormat="1" applyFont="1" applyFill="1" applyBorder="1" applyAlignment="1">
      <alignment horizontal="right"/>
    </xf>
    <xf numFmtId="173" fontId="1" fillId="3" borderId="7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73" fontId="1" fillId="3" borderId="10" xfId="0" applyNumberFormat="1" applyFont="1" applyFill="1" applyBorder="1" applyAlignment="1">
      <alignment/>
    </xf>
    <xf numFmtId="173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173" fontId="0" fillId="0" borderId="20" xfId="0" applyNumberFormat="1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3" xfId="0" applyNumberForma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2" fontId="1" fillId="3" borderId="10" xfId="16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/>
    </xf>
    <xf numFmtId="2" fontId="1" fillId="3" borderId="26" xfId="0" applyNumberFormat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172" fontId="0" fillId="4" borderId="9" xfId="0" applyNumberFormat="1" applyFill="1" applyBorder="1" applyAlignment="1">
      <alignment/>
    </xf>
    <xf numFmtId="2" fontId="0" fillId="4" borderId="21" xfId="0" applyNumberFormat="1" applyFill="1" applyBorder="1" applyAlignment="1">
      <alignment/>
    </xf>
    <xf numFmtId="2" fontId="0" fillId="4" borderId="24" xfId="0" applyNumberForma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73" fontId="1" fillId="3" borderId="1" xfId="16" applyNumberFormat="1" applyFont="1" applyFill="1" applyBorder="1" applyAlignment="1">
      <alignment horizontal="right"/>
    </xf>
    <xf numFmtId="2" fontId="1" fillId="3" borderId="1" xfId="16" applyNumberFormat="1" applyFont="1" applyFill="1" applyBorder="1" applyAlignment="1">
      <alignment horizontal="right"/>
    </xf>
    <xf numFmtId="173" fontId="0" fillId="0" borderId="19" xfId="16" applyNumberFormat="1" applyFill="1" applyBorder="1" applyAlignment="1">
      <alignment horizontal="right"/>
    </xf>
    <xf numFmtId="2" fontId="0" fillId="0" borderId="19" xfId="0" applyNumberFormat="1" applyFill="1" applyBorder="1" applyAlignment="1">
      <alignment/>
    </xf>
    <xf numFmtId="2" fontId="0" fillId="0" borderId="19" xfId="16" applyNumberFormat="1" applyFill="1" applyBorder="1" applyAlignment="1">
      <alignment horizontal="right"/>
    </xf>
    <xf numFmtId="2" fontId="0" fillId="0" borderId="20" xfId="16" applyNumberFormat="1" applyFill="1" applyBorder="1" applyAlignment="1">
      <alignment horizontal="right"/>
    </xf>
    <xf numFmtId="173" fontId="0" fillId="0" borderId="2" xfId="16" applyNumberFormat="1" applyFill="1" applyBorder="1" applyAlignment="1">
      <alignment horizontal="right"/>
    </xf>
    <xf numFmtId="2" fontId="0" fillId="0" borderId="2" xfId="0" applyNumberFormat="1" applyFill="1" applyBorder="1" applyAlignment="1">
      <alignment/>
    </xf>
    <xf numFmtId="2" fontId="0" fillId="0" borderId="3" xfId="16" applyNumberFormat="1" applyFill="1" applyBorder="1" applyAlignment="1">
      <alignment horizontal="right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0" fillId="4" borderId="9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0" fontId="1" fillId="3" borderId="28" xfId="0" applyFont="1" applyFill="1" applyBorder="1" applyAlignment="1">
      <alignment/>
    </xf>
    <xf numFmtId="2" fontId="0" fillId="4" borderId="2" xfId="0" applyNumberFormat="1" applyFill="1" applyBorder="1" applyAlignment="1">
      <alignment/>
    </xf>
    <xf numFmtId="173" fontId="0" fillId="0" borderId="29" xfId="16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0" fillId="3" borderId="11" xfId="0" applyFont="1" applyFill="1" applyBorder="1" applyAlignment="1">
      <alignment vertical="center"/>
    </xf>
    <xf numFmtId="2" fontId="0" fillId="0" borderId="2" xfId="16" applyNumberFormat="1" applyFill="1" applyBorder="1" applyAlignment="1">
      <alignment/>
    </xf>
    <xf numFmtId="0" fontId="0" fillId="0" borderId="31" xfId="0" applyBorder="1" applyAlignment="1">
      <alignment/>
    </xf>
    <xf numFmtId="2" fontId="0" fillId="0" borderId="3" xfId="16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0" fontId="1" fillId="3" borderId="1" xfId="0" applyFont="1" applyFill="1" applyBorder="1" applyAlignment="1">
      <alignment horizontal="left" vertical="center"/>
    </xf>
    <xf numFmtId="0" fontId="0" fillId="3" borderId="5" xfId="0" applyFill="1" applyBorder="1" applyAlignment="1">
      <alignment/>
    </xf>
    <xf numFmtId="0" fontId="0" fillId="3" borderId="32" xfId="0" applyFill="1" applyBorder="1" applyAlignment="1">
      <alignment/>
    </xf>
    <xf numFmtId="2" fontId="1" fillId="3" borderId="9" xfId="0" applyNumberFormat="1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2" fontId="0" fillId="4" borderId="25" xfId="0" applyNumberFormat="1" applyFill="1" applyBorder="1" applyAlignment="1">
      <alignment/>
    </xf>
    <xf numFmtId="2" fontId="0" fillId="4" borderId="33" xfId="0" applyNumberFormat="1" applyFill="1" applyBorder="1" applyAlignment="1">
      <alignment/>
    </xf>
    <xf numFmtId="0" fontId="0" fillId="3" borderId="19" xfId="0" applyFill="1" applyBorder="1" applyAlignment="1">
      <alignment horizontal="left"/>
    </xf>
    <xf numFmtId="169" fontId="1" fillId="3" borderId="6" xfId="20" applyNumberFormat="1" applyFont="1" applyFill="1" applyBorder="1" applyAlignment="1">
      <alignment horizontal="right"/>
    </xf>
    <xf numFmtId="0" fontId="0" fillId="5" borderId="34" xfId="0" applyFill="1" applyBorder="1" applyAlignment="1">
      <alignment horizontal="center" vertical="center"/>
    </xf>
    <xf numFmtId="173" fontId="0" fillId="5" borderId="14" xfId="0" applyNumberFormat="1" applyFill="1" applyBorder="1" applyAlignment="1">
      <alignment horizontal="right" vertical="center"/>
    </xf>
    <xf numFmtId="173" fontId="0" fillId="5" borderId="15" xfId="0" applyNumberFormat="1" applyFill="1" applyBorder="1" applyAlignment="1">
      <alignment horizontal="right" vertical="center"/>
    </xf>
    <xf numFmtId="173" fontId="12" fillId="3" borderId="9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/>
    </xf>
    <xf numFmtId="175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173" fontId="0" fillId="0" borderId="2" xfId="0" applyNumberFormat="1" applyFont="1" applyFill="1" applyBorder="1" applyAlignment="1">
      <alignment horizontal="right"/>
    </xf>
    <xf numFmtId="171" fontId="0" fillId="0" borderId="3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71" fontId="0" fillId="3" borderId="10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1" fontId="0" fillId="0" borderId="35" xfId="0" applyNumberFormat="1" applyFont="1" applyFill="1" applyBorder="1" applyAlignment="1">
      <alignment horizontal="right"/>
    </xf>
    <xf numFmtId="173" fontId="1" fillId="0" borderId="35" xfId="0" applyNumberFormat="1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1" fillId="3" borderId="34" xfId="0" applyFont="1" applyFill="1" applyBorder="1" applyAlignment="1">
      <alignment horizontal="right"/>
    </xf>
    <xf numFmtId="0" fontId="1" fillId="3" borderId="36" xfId="0" applyFont="1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0" fontId="1" fillId="3" borderId="25" xfId="0" applyFont="1" applyFill="1" applyBorder="1" applyAlignment="1">
      <alignment horizontal="center" wrapText="1"/>
    </xf>
    <xf numFmtId="169" fontId="0" fillId="5" borderId="14" xfId="20" applyNumberFormat="1" applyFont="1" applyFill="1" applyBorder="1" applyAlignment="1">
      <alignment horizontal="right" vertical="center"/>
    </xf>
    <xf numFmtId="0" fontId="0" fillId="5" borderId="14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2" fontId="2" fillId="5" borderId="1" xfId="0" applyNumberFormat="1" applyFont="1" applyFill="1" applyBorder="1" applyAlignment="1">
      <alignment vertical="center"/>
    </xf>
    <xf numFmtId="2" fontId="2" fillId="5" borderId="10" xfId="0" applyNumberFormat="1" applyFont="1" applyFill="1" applyBorder="1" applyAlignment="1">
      <alignment vertical="center"/>
    </xf>
    <xf numFmtId="2" fontId="0" fillId="5" borderId="2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169" fontId="0" fillId="5" borderId="14" xfId="2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/>
    </xf>
    <xf numFmtId="0" fontId="20" fillId="0" borderId="0" xfId="0" applyFont="1" applyAlignment="1">
      <alignment horizontal="left" indent="2"/>
    </xf>
    <xf numFmtId="0" fontId="4" fillId="0" borderId="0" xfId="15" applyAlignment="1">
      <alignment/>
    </xf>
    <xf numFmtId="0" fontId="0" fillId="3" borderId="39" xfId="0" applyFont="1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1" fillId="3" borderId="4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3" borderId="29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3" borderId="29" xfId="0" applyFont="1" applyFill="1" applyBorder="1" applyAlignment="1">
      <alignment horizontal="left" wrapText="1"/>
    </xf>
    <xf numFmtId="0" fontId="0" fillId="3" borderId="17" xfId="0" applyFont="1" applyFill="1" applyBorder="1" applyAlignment="1">
      <alignment horizontal="left" wrapText="1"/>
    </xf>
    <xf numFmtId="0" fontId="0" fillId="3" borderId="18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3" borderId="3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9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0" fillId="3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29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3" borderId="29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29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44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3" fontId="0" fillId="2" borderId="2" xfId="0" applyNumberFormat="1" applyFill="1" applyBorder="1" applyAlignment="1">
      <alignment horizontal="center"/>
    </xf>
    <xf numFmtId="173" fontId="0" fillId="2" borderId="3" xfId="0" applyNumberForma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2" fillId="3" borderId="27" xfId="0" applyFont="1" applyFill="1" applyBorder="1" applyAlignment="1" applyProtection="1">
      <alignment horizontal="center" vertical="center"/>
      <protection hidden="1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" fillId="3" borderId="9" xfId="0" applyFont="1" applyFill="1" applyBorder="1" applyAlignment="1">
      <alignment horizontal="left"/>
    </xf>
    <xf numFmtId="0" fontId="0" fillId="3" borderId="25" xfId="0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2</xdr:col>
      <xdr:colOff>361950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64496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180975</xdr:colOff>
      <xdr:row>96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66116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257175</xdr:rowOff>
    </xdr:from>
    <xdr:to>
      <xdr:col>2</xdr:col>
      <xdr:colOff>152400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59734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180975</xdr:colOff>
      <xdr:row>90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61353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2</xdr:col>
      <xdr:colOff>752475</xdr:colOff>
      <xdr:row>4</xdr:row>
      <xdr:rowOff>66675</xdr:rowOff>
    </xdr:to>
    <xdr:pic>
      <xdr:nvPicPr>
        <xdr:cNvPr id="1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2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65925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180975</xdr:colOff>
      <xdr:row>91</xdr:row>
      <xdr:rowOff>0</xdr:rowOff>
    </xdr:to>
    <xdr:pic>
      <xdr:nvPicPr>
        <xdr:cNvPr id="3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67544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nolider.ru/" TargetMode="External" /><Relationship Id="rId2" Type="http://schemas.openxmlformats.org/officeDocument/2006/relationships/hyperlink" Target="mailto:penolider@v-s-d.ru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enolider.ru/" TargetMode="External" /><Relationship Id="rId2" Type="http://schemas.openxmlformats.org/officeDocument/2006/relationships/hyperlink" Target="mailto:penolider@v-s-d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enolider.ru/" TargetMode="External" /><Relationship Id="rId2" Type="http://schemas.openxmlformats.org/officeDocument/2006/relationships/hyperlink" Target="mailto:penolider@v-s-d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96"/>
  <sheetViews>
    <sheetView tabSelected="1" workbookViewId="0" topLeftCell="A1">
      <selection activeCell="L57" sqref="L57"/>
    </sheetView>
  </sheetViews>
  <sheetFormatPr defaultColWidth="9.00390625" defaultRowHeight="12.75"/>
  <cols>
    <col min="4" max="4" width="14.625" style="0" customWidth="1"/>
    <col min="5" max="5" width="12.875" style="0" customWidth="1"/>
    <col min="6" max="6" width="9.625" style="0" customWidth="1"/>
    <col min="9" max="9" width="16.375" style="0" customWidth="1"/>
  </cols>
  <sheetData>
    <row r="1" ht="23.25">
      <c r="D1" s="23" t="s">
        <v>79</v>
      </c>
    </row>
    <row r="2" spans="8:9" ht="12.75">
      <c r="H2" s="11"/>
      <c r="I2" s="12"/>
    </row>
    <row r="3" spans="4:6" ht="12.75">
      <c r="D3" s="1" t="s">
        <v>131</v>
      </c>
      <c r="E3" s="1"/>
      <c r="F3" s="1"/>
    </row>
    <row r="4" ht="12.75">
      <c r="D4" s="1"/>
    </row>
    <row r="5" spans="1:9" ht="12.75">
      <c r="A5" s="295" t="s">
        <v>64</v>
      </c>
      <c r="B5" s="295"/>
      <c r="C5" s="295"/>
      <c r="D5" s="295"/>
      <c r="E5" s="295"/>
      <c r="F5" s="295"/>
      <c r="G5" s="295"/>
      <c r="H5" s="295"/>
      <c r="I5" s="295"/>
    </row>
    <row r="6" spans="1:9" ht="21.75" customHeight="1">
      <c r="A6" s="295"/>
      <c r="B6" s="295"/>
      <c r="C6" s="295"/>
      <c r="D6" s="295"/>
      <c r="E6" s="295"/>
      <c r="F6" s="295"/>
      <c r="G6" s="295"/>
      <c r="H6" s="295"/>
      <c r="I6" s="295"/>
    </row>
    <row r="7" spans="1:9" ht="12.75">
      <c r="A7" s="296" t="s">
        <v>126</v>
      </c>
      <c r="B7" s="296"/>
      <c r="C7" s="296"/>
      <c r="D7" s="296"/>
      <c r="E7" s="296"/>
      <c r="F7" s="296"/>
      <c r="G7" s="296"/>
      <c r="H7" s="296"/>
      <c r="I7" s="296"/>
    </row>
    <row r="8" spans="3:6" ht="12.75">
      <c r="C8" s="297"/>
      <c r="D8" s="297"/>
      <c r="E8" s="297"/>
      <c r="F8" s="297"/>
    </row>
    <row r="9" spans="3:6" ht="12.75">
      <c r="C9" s="10"/>
      <c r="D9" s="10"/>
      <c r="E9" s="10"/>
      <c r="F9" s="10"/>
    </row>
    <row r="10" spans="2:8" ht="20.25">
      <c r="B10" s="298" t="s">
        <v>133</v>
      </c>
      <c r="C10" s="298"/>
      <c r="D10" s="298"/>
      <c r="E10" s="298"/>
      <c r="F10" s="298"/>
      <c r="G10" s="298"/>
      <c r="H10" s="298"/>
    </row>
    <row r="12" spans="1:9" ht="13.5" thickBot="1">
      <c r="A12" s="4"/>
      <c r="B12" s="221" t="s">
        <v>66</v>
      </c>
      <c r="C12" s="221"/>
      <c r="D12" s="221"/>
      <c r="E12" s="4"/>
      <c r="F12" s="4"/>
      <c r="G12" s="4"/>
      <c r="H12" s="27"/>
      <c r="I12" s="4"/>
    </row>
    <row r="13" spans="1:8" ht="12.75">
      <c r="A13" s="193">
        <v>1</v>
      </c>
      <c r="B13" s="293" t="s">
        <v>46</v>
      </c>
      <c r="C13" s="294"/>
      <c r="D13" s="294"/>
      <c r="E13" s="294"/>
      <c r="F13" s="206" t="s">
        <v>47</v>
      </c>
      <c r="G13" s="206"/>
      <c r="H13" s="207"/>
    </row>
    <row r="14" spans="1:8" ht="12.75">
      <c r="A14" s="194">
        <v>2</v>
      </c>
      <c r="B14" s="277" t="s">
        <v>132</v>
      </c>
      <c r="C14" s="282"/>
      <c r="D14" s="282"/>
      <c r="E14" s="282"/>
      <c r="F14" s="283" t="s">
        <v>134</v>
      </c>
      <c r="G14" s="283"/>
      <c r="H14" s="284"/>
    </row>
    <row r="15" spans="1:8" ht="13.5">
      <c r="A15" s="195">
        <v>3</v>
      </c>
      <c r="B15" s="277" t="s">
        <v>80</v>
      </c>
      <c r="C15" s="282"/>
      <c r="D15" s="282"/>
      <c r="E15" s="282"/>
      <c r="F15" s="287">
        <v>1.2</v>
      </c>
      <c r="G15" s="287"/>
      <c r="H15" s="288"/>
    </row>
    <row r="16" spans="1:8" ht="12.75">
      <c r="A16" s="194">
        <v>4</v>
      </c>
      <c r="B16" s="289" t="s">
        <v>42</v>
      </c>
      <c r="C16" s="290"/>
      <c r="D16" s="290"/>
      <c r="E16" s="290"/>
      <c r="F16" s="291">
        <v>8</v>
      </c>
      <c r="G16" s="291"/>
      <c r="H16" s="292"/>
    </row>
    <row r="17" spans="1:8" ht="12.75">
      <c r="A17" s="195">
        <v>5</v>
      </c>
      <c r="B17" s="277" t="s">
        <v>3</v>
      </c>
      <c r="C17" s="282"/>
      <c r="D17" s="282"/>
      <c r="E17" s="282"/>
      <c r="F17" s="285">
        <v>22</v>
      </c>
      <c r="G17" s="285"/>
      <c r="H17" s="286"/>
    </row>
    <row r="18" spans="1:8" ht="12.75">
      <c r="A18" s="194">
        <v>6</v>
      </c>
      <c r="B18" s="277" t="s">
        <v>4</v>
      </c>
      <c r="C18" s="282"/>
      <c r="D18" s="282"/>
      <c r="E18" s="282"/>
      <c r="F18" s="283">
        <v>8</v>
      </c>
      <c r="G18" s="283"/>
      <c r="H18" s="284"/>
    </row>
    <row r="19" spans="1:8" ht="12.75">
      <c r="A19" s="195">
        <v>7</v>
      </c>
      <c r="B19" s="277" t="s">
        <v>5</v>
      </c>
      <c r="C19" s="282"/>
      <c r="D19" s="282"/>
      <c r="E19" s="282"/>
      <c r="F19" s="25">
        <v>1</v>
      </c>
      <c r="G19" s="25">
        <v>2</v>
      </c>
      <c r="H19" s="30">
        <v>3</v>
      </c>
    </row>
    <row r="20" spans="1:8" ht="13.5">
      <c r="A20" s="194">
        <v>8</v>
      </c>
      <c r="B20" s="277" t="s">
        <v>44</v>
      </c>
      <c r="C20" s="282"/>
      <c r="D20" s="282"/>
      <c r="E20" s="282"/>
      <c r="F20" s="283">
        <f>F16*8</f>
        <v>64</v>
      </c>
      <c r="G20" s="283"/>
      <c r="H20" s="284"/>
    </row>
    <row r="21" spans="1:8" ht="13.5">
      <c r="A21" s="195">
        <v>9</v>
      </c>
      <c r="B21" s="276" t="s">
        <v>48</v>
      </c>
      <c r="C21" s="276"/>
      <c r="D21" s="276"/>
      <c r="E21" s="277"/>
      <c r="F21" s="24">
        <f>F20*F19</f>
        <v>64</v>
      </c>
      <c r="G21" s="24">
        <f>F20*G19</f>
        <v>128</v>
      </c>
      <c r="H21" s="29">
        <f>F20*H19</f>
        <v>192</v>
      </c>
    </row>
    <row r="22" spans="1:8" ht="12.75">
      <c r="A22" s="194">
        <v>10</v>
      </c>
      <c r="B22" s="276" t="s">
        <v>39</v>
      </c>
      <c r="C22" s="276"/>
      <c r="D22" s="276"/>
      <c r="E22" s="277"/>
      <c r="F22" s="31">
        <f aca="true" t="shared" si="0" ref="F22:H23">E88</f>
        <v>35.76086636324954</v>
      </c>
      <c r="G22" s="31">
        <f t="shared" si="0"/>
        <v>37.17934214061851</v>
      </c>
      <c r="H22" s="32">
        <f t="shared" si="0"/>
        <v>37.66020289837896</v>
      </c>
    </row>
    <row r="23" spans="1:8" ht="15.75">
      <c r="A23" s="195">
        <v>11</v>
      </c>
      <c r="B23" s="276" t="s">
        <v>28</v>
      </c>
      <c r="C23" s="276"/>
      <c r="D23" s="276"/>
      <c r="E23" s="277"/>
      <c r="F23" s="33">
        <f t="shared" si="0"/>
        <v>63.52403169007544</v>
      </c>
      <c r="G23" s="33">
        <f t="shared" si="0"/>
        <v>30.937968596628348</v>
      </c>
      <c r="H23" s="34">
        <f t="shared" si="0"/>
        <v>20.44847112038971</v>
      </c>
    </row>
    <row r="24" spans="1:8" ht="13.5" thickBot="1">
      <c r="A24" s="196">
        <v>12</v>
      </c>
      <c r="B24" s="278" t="s">
        <v>36</v>
      </c>
      <c r="C24" s="279"/>
      <c r="D24" s="279"/>
      <c r="E24" s="279"/>
      <c r="F24" s="280" t="s">
        <v>138</v>
      </c>
      <c r="G24" s="280"/>
      <c r="H24" s="281"/>
    </row>
    <row r="25" spans="1:8" ht="12.75">
      <c r="A25" s="38"/>
      <c r="B25" s="260"/>
      <c r="C25" s="260"/>
      <c r="D25" s="260"/>
      <c r="E25" s="260"/>
      <c r="F25" s="261"/>
      <c r="G25" s="262"/>
      <c r="H25" s="262"/>
    </row>
    <row r="27" spans="1:9" ht="13.5" thickBot="1">
      <c r="A27" s="4"/>
      <c r="B27" s="241" t="s">
        <v>130</v>
      </c>
      <c r="C27" s="241"/>
      <c r="D27" s="241"/>
      <c r="E27" s="241"/>
      <c r="F27" s="4"/>
      <c r="G27" s="4"/>
      <c r="H27" s="4"/>
      <c r="I27" s="27"/>
    </row>
    <row r="28" spans="1:9" ht="12.75">
      <c r="A28" s="263" t="s">
        <v>6</v>
      </c>
      <c r="B28" s="265" t="s">
        <v>0</v>
      </c>
      <c r="C28" s="266"/>
      <c r="D28" s="267"/>
      <c r="E28" s="271" t="s">
        <v>104</v>
      </c>
      <c r="F28" s="273" t="s">
        <v>49</v>
      </c>
      <c r="G28" s="274"/>
      <c r="H28" s="274"/>
      <c r="I28" s="275"/>
    </row>
    <row r="29" spans="1:9" ht="13.5" thickBot="1">
      <c r="A29" s="264"/>
      <c r="B29" s="268"/>
      <c r="C29" s="269"/>
      <c r="D29" s="270"/>
      <c r="E29" s="272"/>
      <c r="F29" s="61" t="s">
        <v>50</v>
      </c>
      <c r="G29" s="62" t="s">
        <v>51</v>
      </c>
      <c r="H29" s="61" t="s">
        <v>52</v>
      </c>
      <c r="I29" s="63" t="s">
        <v>53</v>
      </c>
    </row>
    <row r="30" spans="1:9" ht="13.5" thickBot="1">
      <c r="A30" s="168"/>
      <c r="B30" s="169" t="s">
        <v>127</v>
      </c>
      <c r="C30" s="170"/>
      <c r="D30" s="171"/>
      <c r="E30" s="182">
        <f>1483000/1.18</f>
        <v>1256779.6610169492</v>
      </c>
      <c r="F30" s="183">
        <v>5</v>
      </c>
      <c r="G30" s="147">
        <f>E30*0.05</f>
        <v>62838.98305084746</v>
      </c>
      <c r="H30" s="147">
        <f>E30*2*0.05</f>
        <v>125677.96610169492</v>
      </c>
      <c r="I30" s="148">
        <f>E30*3*0.05</f>
        <v>188516.9491525424</v>
      </c>
    </row>
    <row r="31" ht="12.75">
      <c r="A31" s="35" t="s">
        <v>54</v>
      </c>
    </row>
    <row r="32" ht="12.75">
      <c r="A32" s="35"/>
    </row>
    <row r="33" spans="1:9" ht="13.5" thickBot="1">
      <c r="A33" s="4"/>
      <c r="B33" s="129" t="s">
        <v>68</v>
      </c>
      <c r="C33" s="129"/>
      <c r="D33" s="129"/>
      <c r="E33" s="129"/>
      <c r="F33" s="129"/>
      <c r="G33" s="129"/>
      <c r="H33" s="4"/>
      <c r="I33" s="27"/>
    </row>
    <row r="34" spans="1:9" ht="26.25" thickBot="1">
      <c r="A34" s="257" t="s">
        <v>12</v>
      </c>
      <c r="B34" s="258"/>
      <c r="C34" s="258"/>
      <c r="D34" s="259"/>
      <c r="E34" s="70" t="s">
        <v>31</v>
      </c>
      <c r="F34" s="70" t="s">
        <v>33</v>
      </c>
      <c r="G34" s="70" t="s">
        <v>13</v>
      </c>
      <c r="H34" s="70" t="s">
        <v>40</v>
      </c>
      <c r="I34" s="71" t="s">
        <v>55</v>
      </c>
    </row>
    <row r="35" spans="1:9" ht="12.75">
      <c r="A35" s="72">
        <v>1</v>
      </c>
      <c r="B35" s="224" t="s">
        <v>8</v>
      </c>
      <c r="C35" s="224"/>
      <c r="D35" s="224"/>
      <c r="E35" s="83">
        <v>4</v>
      </c>
      <c r="F35" s="84">
        <v>1</v>
      </c>
      <c r="G35" s="83">
        <f>F35*E35</f>
        <v>4</v>
      </c>
      <c r="H35" s="83">
        <v>4</v>
      </c>
      <c r="I35" s="85">
        <f>H35*G35</f>
        <v>16</v>
      </c>
    </row>
    <row r="36" spans="1:9" ht="12.75">
      <c r="A36" s="73">
        <v>2</v>
      </c>
      <c r="B36" s="211" t="s">
        <v>41</v>
      </c>
      <c r="C36" s="211"/>
      <c r="D36" s="211"/>
      <c r="E36" s="86">
        <v>7.5</v>
      </c>
      <c r="F36" s="25">
        <v>1</v>
      </c>
      <c r="G36" s="86">
        <f>F36*E36</f>
        <v>7.5</v>
      </c>
      <c r="H36" s="86">
        <v>4</v>
      </c>
      <c r="I36" s="87">
        <f>H36*G36</f>
        <v>30</v>
      </c>
    </row>
    <row r="37" spans="1:9" ht="12.75">
      <c r="A37" s="73">
        <v>4</v>
      </c>
      <c r="B37" s="249" t="s">
        <v>56</v>
      </c>
      <c r="C37" s="250"/>
      <c r="D37" s="251"/>
      <c r="E37" s="86">
        <v>4</v>
      </c>
      <c r="F37" s="25">
        <v>1</v>
      </c>
      <c r="G37" s="86">
        <v>1.5</v>
      </c>
      <c r="H37" s="86">
        <v>0.5</v>
      </c>
      <c r="I37" s="87">
        <f>G37*H37</f>
        <v>0.75</v>
      </c>
    </row>
    <row r="38" spans="1:9" ht="12.75">
      <c r="A38" s="73">
        <v>5</v>
      </c>
      <c r="B38" s="249" t="s">
        <v>32</v>
      </c>
      <c r="C38" s="250"/>
      <c r="D38" s="251"/>
      <c r="E38" s="86">
        <v>2.2</v>
      </c>
      <c r="F38" s="25">
        <v>1</v>
      </c>
      <c r="G38" s="86">
        <f>F38*E38</f>
        <v>2.2</v>
      </c>
      <c r="H38" s="86">
        <v>1.5</v>
      </c>
      <c r="I38" s="87">
        <f>H38*G38</f>
        <v>3.3000000000000003</v>
      </c>
    </row>
    <row r="39" spans="1:9" ht="12.75">
      <c r="A39" s="73">
        <v>6</v>
      </c>
      <c r="B39" s="211" t="s">
        <v>37</v>
      </c>
      <c r="C39" s="211"/>
      <c r="D39" s="211"/>
      <c r="E39" s="86">
        <v>2.7</v>
      </c>
      <c r="F39" s="25">
        <v>1</v>
      </c>
      <c r="G39" s="86">
        <f>F39*E39</f>
        <v>2.7</v>
      </c>
      <c r="H39" s="86">
        <v>4</v>
      </c>
      <c r="I39" s="87">
        <f>H39*G39</f>
        <v>10.8</v>
      </c>
    </row>
    <row r="40" spans="1:9" ht="12.75">
      <c r="A40" s="73">
        <v>7</v>
      </c>
      <c r="B40" s="211" t="s">
        <v>43</v>
      </c>
      <c r="C40" s="211"/>
      <c r="D40" s="211"/>
      <c r="E40" s="86">
        <v>1.1</v>
      </c>
      <c r="F40" s="25">
        <v>3</v>
      </c>
      <c r="G40" s="86">
        <f>F40*E40</f>
        <v>3.3000000000000003</v>
      </c>
      <c r="H40" s="86">
        <v>2</v>
      </c>
      <c r="I40" s="87">
        <f>H40*G40</f>
        <v>6.6000000000000005</v>
      </c>
    </row>
    <row r="41" spans="1:9" ht="12.75">
      <c r="A41" s="73">
        <v>8</v>
      </c>
      <c r="B41" s="249" t="s">
        <v>14</v>
      </c>
      <c r="C41" s="250"/>
      <c r="D41" s="251"/>
      <c r="E41" s="86">
        <v>0.1</v>
      </c>
      <c r="F41" s="25">
        <v>10</v>
      </c>
      <c r="G41" s="86">
        <f>F41*E41</f>
        <v>1</v>
      </c>
      <c r="H41" s="86">
        <v>8</v>
      </c>
      <c r="I41" s="87">
        <f>H41*G41</f>
        <v>8</v>
      </c>
    </row>
    <row r="42" spans="1:9" ht="13.5" thickBot="1">
      <c r="A42" s="77"/>
      <c r="B42" s="238" t="s">
        <v>15</v>
      </c>
      <c r="C42" s="239"/>
      <c r="D42" s="239"/>
      <c r="E42" s="79"/>
      <c r="F42" s="78"/>
      <c r="G42" s="80"/>
      <c r="H42" s="81"/>
      <c r="I42" s="82">
        <f>SUM(I35:I41)</f>
        <v>75.44999999999999</v>
      </c>
    </row>
    <row r="43" spans="1:9" ht="24.75" thickBot="1">
      <c r="A43" s="88"/>
      <c r="B43" s="246" t="s">
        <v>12</v>
      </c>
      <c r="C43" s="247"/>
      <c r="D43" s="248"/>
      <c r="E43" s="149" t="s">
        <v>90</v>
      </c>
      <c r="F43" s="150" t="s">
        <v>33</v>
      </c>
      <c r="G43" s="150" t="s">
        <v>13</v>
      </c>
      <c r="H43" s="150" t="s">
        <v>40</v>
      </c>
      <c r="I43" s="151" t="s">
        <v>91</v>
      </c>
    </row>
    <row r="44" spans="1:9" ht="12.75">
      <c r="A44" s="152">
        <v>1</v>
      </c>
      <c r="B44" s="252" t="s">
        <v>92</v>
      </c>
      <c r="C44" s="253"/>
      <c r="D44" s="254"/>
      <c r="E44" s="153">
        <f>E47*F16/E46</f>
        <v>0.2315112540192926</v>
      </c>
      <c r="F44" s="154">
        <v>1</v>
      </c>
      <c r="G44" s="153">
        <f>E44*F44</f>
        <v>0.2315112540192926</v>
      </c>
      <c r="H44" s="155">
        <v>8</v>
      </c>
      <c r="I44" s="156">
        <f>G44*H44</f>
        <v>1.8520900321543408</v>
      </c>
    </row>
    <row r="45" spans="1:9" ht="13.5" thickBot="1">
      <c r="A45" s="157"/>
      <c r="B45" s="255" t="s">
        <v>93</v>
      </c>
      <c r="C45" s="256"/>
      <c r="D45" s="256"/>
      <c r="E45" s="79"/>
      <c r="F45" s="158"/>
      <c r="G45" s="79"/>
      <c r="H45" s="159"/>
      <c r="I45" s="160">
        <f>I44</f>
        <v>1.8520900321543408</v>
      </c>
    </row>
    <row r="46" spans="1:9" ht="12.75">
      <c r="A46" s="161"/>
      <c r="B46" s="162" t="s">
        <v>94</v>
      </c>
      <c r="C46" s="163"/>
      <c r="D46" s="163"/>
      <c r="E46" s="164">
        <v>1555</v>
      </c>
      <c r="F46" s="162" t="s">
        <v>95</v>
      </c>
      <c r="G46" s="165"/>
      <c r="H46" s="163"/>
      <c r="I46" s="161"/>
    </row>
    <row r="47" spans="2:6" ht="14.25">
      <c r="B47" t="s">
        <v>45</v>
      </c>
      <c r="E47">
        <v>45</v>
      </c>
      <c r="F47" t="s">
        <v>22</v>
      </c>
    </row>
    <row r="49" spans="1:9" ht="13.5" thickBot="1">
      <c r="A49" s="4"/>
      <c r="B49" s="245" t="s">
        <v>72</v>
      </c>
      <c r="C49" s="245"/>
      <c r="D49" s="245"/>
      <c r="E49" s="245"/>
      <c r="F49" s="4"/>
      <c r="G49" s="4"/>
      <c r="H49" s="27"/>
      <c r="I49" s="4"/>
    </row>
    <row r="50" spans="1:9" ht="12.75">
      <c r="A50" s="88" t="s">
        <v>6</v>
      </c>
      <c r="B50" s="246" t="s">
        <v>17</v>
      </c>
      <c r="C50" s="247"/>
      <c r="D50" s="247"/>
      <c r="E50" s="248"/>
      <c r="F50" s="66" t="s">
        <v>18</v>
      </c>
      <c r="G50" s="66" t="s">
        <v>19</v>
      </c>
      <c r="H50" s="67" t="s">
        <v>7</v>
      </c>
      <c r="I50" s="4"/>
    </row>
    <row r="51" spans="1:8" ht="12.75">
      <c r="A51" s="73">
        <v>1</v>
      </c>
      <c r="B51" s="249" t="s">
        <v>75</v>
      </c>
      <c r="C51" s="250"/>
      <c r="D51" s="250"/>
      <c r="E51" s="251"/>
      <c r="F51" s="25">
        <v>1</v>
      </c>
      <c r="G51" s="8">
        <v>13000</v>
      </c>
      <c r="H51" s="93">
        <f>G51</f>
        <v>13000</v>
      </c>
    </row>
    <row r="52" spans="1:8" ht="12.75">
      <c r="A52" s="73">
        <v>2</v>
      </c>
      <c r="B52" s="249" t="s">
        <v>76</v>
      </c>
      <c r="C52" s="250"/>
      <c r="D52" s="250"/>
      <c r="E52" s="251"/>
      <c r="F52" s="25">
        <v>1</v>
      </c>
      <c r="G52" s="8">
        <v>15000</v>
      </c>
      <c r="H52" s="93">
        <f>G52</f>
        <v>15000</v>
      </c>
    </row>
    <row r="53" spans="1:9" ht="13.5" thickBot="1">
      <c r="A53" s="77"/>
      <c r="B53" s="238" t="s">
        <v>20</v>
      </c>
      <c r="C53" s="239"/>
      <c r="D53" s="239"/>
      <c r="E53" s="240"/>
      <c r="F53" s="62">
        <f>SUM(F51:F52)</f>
        <v>2</v>
      </c>
      <c r="G53" s="91"/>
      <c r="H53" s="92">
        <f>SUM(H51:H52)</f>
        <v>28000</v>
      </c>
      <c r="I53" s="4"/>
    </row>
    <row r="54" spans="1:9" ht="12.75">
      <c r="A54" s="14"/>
      <c r="B54" s="15"/>
      <c r="C54" s="15"/>
      <c r="D54" s="15"/>
      <c r="E54" s="15"/>
      <c r="F54" s="14"/>
      <c r="G54" s="14"/>
      <c r="H54" s="14"/>
      <c r="I54" s="4"/>
    </row>
    <row r="55" spans="1:9" ht="12.75">
      <c r="A55" s="14"/>
      <c r="B55" s="15"/>
      <c r="C55" s="15"/>
      <c r="D55" s="15"/>
      <c r="E55" s="15"/>
      <c r="F55" s="14"/>
      <c r="G55" s="16"/>
      <c r="H55" s="17"/>
      <c r="I55" s="15"/>
    </row>
    <row r="56" spans="1:9" ht="13.5" thickBot="1">
      <c r="A56" s="4"/>
      <c r="B56" s="241" t="s">
        <v>69</v>
      </c>
      <c r="C56" s="241"/>
      <c r="D56" s="241"/>
      <c r="E56" s="241"/>
      <c r="F56" s="241"/>
      <c r="G56" s="241"/>
      <c r="H56" s="4"/>
      <c r="I56" s="27"/>
    </row>
    <row r="57" spans="1:9" ht="25.5">
      <c r="A57" s="64" t="s">
        <v>6</v>
      </c>
      <c r="B57" s="242" t="s">
        <v>0</v>
      </c>
      <c r="C57" s="243"/>
      <c r="D57" s="96" t="s">
        <v>2</v>
      </c>
      <c r="E57" s="60" t="s">
        <v>88</v>
      </c>
      <c r="F57" s="203" t="s">
        <v>1</v>
      </c>
      <c r="G57" s="203"/>
      <c r="H57" s="203"/>
      <c r="I57" s="244"/>
    </row>
    <row r="58" spans="1:9" ht="12.75">
      <c r="A58" s="65">
        <v>1</v>
      </c>
      <c r="B58" s="234" t="s">
        <v>86</v>
      </c>
      <c r="C58" s="235"/>
      <c r="D58" s="55" t="s">
        <v>10</v>
      </c>
      <c r="E58" s="7">
        <f>63000/1.18</f>
        <v>53389.83050847458</v>
      </c>
      <c r="F58" s="236" t="s">
        <v>87</v>
      </c>
      <c r="G58" s="236"/>
      <c r="H58" s="236"/>
      <c r="I58" s="237"/>
    </row>
    <row r="59" spans="1:9" ht="12.75">
      <c r="A59" s="65">
        <v>2</v>
      </c>
      <c r="B59" s="234" t="s">
        <v>96</v>
      </c>
      <c r="C59" s="235"/>
      <c r="D59" s="55" t="s">
        <v>97</v>
      </c>
      <c r="E59" s="7">
        <f>400/1.18</f>
        <v>338.98305084745766</v>
      </c>
      <c r="F59" s="228" t="s">
        <v>98</v>
      </c>
      <c r="G59" s="228"/>
      <c r="H59" s="228"/>
      <c r="I59" s="229"/>
    </row>
    <row r="60" spans="1:9" ht="12.75">
      <c r="A60" s="65">
        <v>3</v>
      </c>
      <c r="B60" s="227" t="s">
        <v>11</v>
      </c>
      <c r="C60" s="227"/>
      <c r="D60" s="55" t="s">
        <v>35</v>
      </c>
      <c r="E60" s="37">
        <f>3/1.18</f>
        <v>2.5423728813559325</v>
      </c>
      <c r="F60" s="228"/>
      <c r="G60" s="228"/>
      <c r="H60" s="228"/>
      <c r="I60" s="229"/>
    </row>
    <row r="61" spans="1:9" ht="15" thickBot="1">
      <c r="A61" s="65">
        <v>4</v>
      </c>
      <c r="B61" s="230" t="s">
        <v>57</v>
      </c>
      <c r="C61" s="231"/>
      <c r="D61" s="98" t="s">
        <v>58</v>
      </c>
      <c r="E61" s="6">
        <f>150/1.18</f>
        <v>127.11864406779662</v>
      </c>
      <c r="F61" s="232" t="s">
        <v>81</v>
      </c>
      <c r="G61" s="232"/>
      <c r="H61" s="232"/>
      <c r="I61" s="233"/>
    </row>
    <row r="63" spans="1:9" ht="15" thickBot="1">
      <c r="A63" s="4"/>
      <c r="B63" s="130" t="s">
        <v>70</v>
      </c>
      <c r="C63" s="130"/>
      <c r="D63" s="130"/>
      <c r="E63" s="130"/>
      <c r="F63" s="130"/>
      <c r="G63" s="4"/>
      <c r="H63" s="27"/>
      <c r="I63" s="4"/>
    </row>
    <row r="64" spans="1:9" ht="12.75">
      <c r="A64" s="202" t="s">
        <v>6</v>
      </c>
      <c r="B64" s="203" t="s">
        <v>0</v>
      </c>
      <c r="C64" s="203"/>
      <c r="D64" s="203"/>
      <c r="E64" s="89" t="s">
        <v>16</v>
      </c>
      <c r="F64" s="90"/>
      <c r="G64" s="90"/>
      <c r="H64" s="101"/>
      <c r="I64" s="4"/>
    </row>
    <row r="65" spans="1:9" ht="13.5" thickBot="1">
      <c r="A65" s="208"/>
      <c r="B65" s="209"/>
      <c r="C65" s="209"/>
      <c r="D65" s="209"/>
      <c r="E65" s="102" t="s">
        <v>22</v>
      </c>
      <c r="F65" s="102" t="s">
        <v>59</v>
      </c>
      <c r="G65" s="197" t="s">
        <v>60</v>
      </c>
      <c r="H65" s="198"/>
      <c r="I65" s="10"/>
    </row>
    <row r="66" spans="1:8" ht="12.75">
      <c r="A66" s="99">
        <v>1</v>
      </c>
      <c r="B66" s="199" t="s">
        <v>77</v>
      </c>
      <c r="C66" s="199"/>
      <c r="D66" s="200"/>
      <c r="E66" s="106">
        <v>15</v>
      </c>
      <c r="F66" s="107">
        <f>E58/1000</f>
        <v>53.38983050847458</v>
      </c>
      <c r="G66" s="108"/>
      <c r="H66" s="109">
        <f>E66*F66</f>
        <v>800.8474576271187</v>
      </c>
    </row>
    <row r="67" spans="1:9" ht="15" thickBot="1">
      <c r="A67" s="100"/>
      <c r="B67" s="210" t="s">
        <v>61</v>
      </c>
      <c r="C67" s="210"/>
      <c r="D67" s="201"/>
      <c r="E67" s="103">
        <f>SUM(E66:E66)</f>
        <v>15</v>
      </c>
      <c r="F67" s="91"/>
      <c r="G67" s="104"/>
      <c r="H67" s="105">
        <f>SUM(H66:H66)</f>
        <v>800.8474576271187</v>
      </c>
      <c r="I67" s="4"/>
    </row>
    <row r="68" spans="1:9" ht="12.75">
      <c r="A68" s="14"/>
      <c r="B68" s="19"/>
      <c r="C68" s="19"/>
      <c r="D68" s="19"/>
      <c r="E68" s="14"/>
      <c r="F68" s="14"/>
      <c r="G68" s="20"/>
      <c r="H68" s="20"/>
      <c r="I68" s="18"/>
    </row>
    <row r="69" spans="1:9" ht="13.5" thickBot="1">
      <c r="A69" s="4"/>
      <c r="B69" s="221" t="s">
        <v>71</v>
      </c>
      <c r="C69" s="221"/>
      <c r="D69" s="221"/>
      <c r="E69" s="221"/>
      <c r="F69" s="221"/>
      <c r="G69" s="221"/>
      <c r="H69" s="221"/>
      <c r="I69" s="27"/>
    </row>
    <row r="70" spans="1:9" ht="14.25">
      <c r="A70" s="202" t="s">
        <v>23</v>
      </c>
      <c r="B70" s="203"/>
      <c r="C70" s="203"/>
      <c r="D70" s="206" t="s">
        <v>24</v>
      </c>
      <c r="E70" s="206"/>
      <c r="F70" s="206"/>
      <c r="G70" s="206" t="s">
        <v>62</v>
      </c>
      <c r="H70" s="206"/>
      <c r="I70" s="207"/>
    </row>
    <row r="71" spans="1:9" ht="13.5" thickBot="1">
      <c r="A71" s="204"/>
      <c r="B71" s="205"/>
      <c r="C71" s="205"/>
      <c r="D71" s="62" t="s">
        <v>51</v>
      </c>
      <c r="E71" s="62" t="s">
        <v>52</v>
      </c>
      <c r="F71" s="94" t="s">
        <v>53</v>
      </c>
      <c r="G71" s="62" t="s">
        <v>51</v>
      </c>
      <c r="H71" s="62" t="s">
        <v>52</v>
      </c>
      <c r="I71" s="110" t="s">
        <v>53</v>
      </c>
    </row>
    <row r="72" spans="1:9" ht="12.75">
      <c r="A72" s="72">
        <v>1</v>
      </c>
      <c r="B72" s="224" t="s">
        <v>11</v>
      </c>
      <c r="C72" s="224"/>
      <c r="D72" s="113">
        <f>I42*E60*22</f>
        <v>4220.0847457627115</v>
      </c>
      <c r="E72" s="113">
        <f>I42*E60*F17*G19</f>
        <v>8440.169491525423</v>
      </c>
      <c r="F72" s="83">
        <f>I42*E60*F17*H19</f>
        <v>12660.254237288134</v>
      </c>
      <c r="G72" s="114">
        <f>D72/F17/F21</f>
        <v>2.997219279661017</v>
      </c>
      <c r="H72" s="115">
        <f>E72/F17/G21</f>
        <v>2.997219279661017</v>
      </c>
      <c r="I72" s="116">
        <f>F72/F17/H21</f>
        <v>2.997219279661017</v>
      </c>
    </row>
    <row r="73" spans="1:9" ht="12.75">
      <c r="A73" s="72">
        <v>2</v>
      </c>
      <c r="B73" s="144" t="s">
        <v>96</v>
      </c>
      <c r="C73" s="144"/>
      <c r="D73" s="113">
        <f>F17*F19*I45*E59</f>
        <v>13812.196849964577</v>
      </c>
      <c r="E73" s="113">
        <f>F17*G19*I45*E59</f>
        <v>27624.393699929155</v>
      </c>
      <c r="F73" s="83">
        <f>F17*H19*I45*E59</f>
        <v>41436.59054989373</v>
      </c>
      <c r="G73" s="114">
        <f>D73/F17/F21</f>
        <v>9.809798899122569</v>
      </c>
      <c r="H73" s="115">
        <f>E73/F17/G21</f>
        <v>9.809798899122569</v>
      </c>
      <c r="I73" s="116">
        <f>F73/F17/H21</f>
        <v>9.809798899122567</v>
      </c>
    </row>
    <row r="74" spans="1:9" ht="12.75">
      <c r="A74" s="72">
        <v>3</v>
      </c>
      <c r="B74" s="211" t="s">
        <v>25</v>
      </c>
      <c r="C74" s="211"/>
      <c r="D74" s="117">
        <f>H53*F19</f>
        <v>28000</v>
      </c>
      <c r="E74" s="117">
        <f>H53*G19</f>
        <v>56000</v>
      </c>
      <c r="F74" s="86">
        <f>H53*H19</f>
        <v>84000</v>
      </c>
      <c r="G74" s="118">
        <f>D74/F17/F20</f>
        <v>19.886363636363637</v>
      </c>
      <c r="H74" s="36">
        <f>E74/F17/F20/G19</f>
        <v>19.886363636363637</v>
      </c>
      <c r="I74" s="119">
        <f>F74/F17/F20/H19</f>
        <v>19.886363636363637</v>
      </c>
    </row>
    <row r="75" spans="1:9" ht="12.75">
      <c r="A75" s="72">
        <v>4</v>
      </c>
      <c r="B75" s="225" t="s">
        <v>73</v>
      </c>
      <c r="C75" s="226"/>
      <c r="D75" s="127">
        <f aca="true" t="shared" si="1" ref="D75:I75">D74*0.277</f>
        <v>7756.000000000001</v>
      </c>
      <c r="E75" s="127">
        <f t="shared" si="1"/>
        <v>15512.000000000002</v>
      </c>
      <c r="F75" s="127">
        <f t="shared" si="1"/>
        <v>23268.000000000004</v>
      </c>
      <c r="G75" s="127">
        <f t="shared" si="1"/>
        <v>5.5085227272727275</v>
      </c>
      <c r="H75" s="127">
        <f t="shared" si="1"/>
        <v>5.5085227272727275</v>
      </c>
      <c r="I75" s="127">
        <f t="shared" si="1"/>
        <v>5.5085227272727275</v>
      </c>
    </row>
    <row r="76" spans="1:9" ht="12.75">
      <c r="A76" s="72">
        <v>5</v>
      </c>
      <c r="B76" s="211" t="s">
        <v>21</v>
      </c>
      <c r="C76" s="211"/>
      <c r="D76" s="117">
        <f>E61*240</f>
        <v>30508.47457627119</v>
      </c>
      <c r="E76" s="117">
        <f>D76</f>
        <v>30508.47457627119</v>
      </c>
      <c r="F76" s="117">
        <f>D76</f>
        <v>30508.47457627119</v>
      </c>
      <c r="G76" s="118">
        <f>D76/F17/F21</f>
        <v>21.667950693374426</v>
      </c>
      <c r="H76" s="36">
        <f>E76/F17/G21</f>
        <v>10.833975346687213</v>
      </c>
      <c r="I76" s="119">
        <f>F76/F17/H21</f>
        <v>7.222650231124809</v>
      </c>
    </row>
    <row r="77" spans="1:9" ht="12.75">
      <c r="A77" s="72">
        <v>6</v>
      </c>
      <c r="B77" s="211" t="s">
        <v>26</v>
      </c>
      <c r="C77" s="211"/>
      <c r="D77" s="117">
        <f>G30/12</f>
        <v>5236.5819209039555</v>
      </c>
      <c r="E77" s="117">
        <f>H30/12</f>
        <v>10473.163841807911</v>
      </c>
      <c r="F77" s="117">
        <f>I30/12</f>
        <v>15709.745762711866</v>
      </c>
      <c r="G77" s="118">
        <f>D77/F17/F20</f>
        <v>3.7191632960965593</v>
      </c>
      <c r="H77" s="36">
        <f>E77/F17/F20/G19</f>
        <v>3.7191632960965593</v>
      </c>
      <c r="I77" s="119">
        <f>F77/F17/F20/H19</f>
        <v>3.719163296096559</v>
      </c>
    </row>
    <row r="78" spans="1:9" ht="13.5" thickBot="1">
      <c r="A78" s="77"/>
      <c r="B78" s="220" t="s">
        <v>9</v>
      </c>
      <c r="C78" s="220"/>
      <c r="D78" s="111">
        <f aca="true" t="shared" si="2" ref="D78:I78">SUM(D72:D77)</f>
        <v>89533.33809290244</v>
      </c>
      <c r="E78" s="111">
        <f t="shared" si="2"/>
        <v>148558.2016095337</v>
      </c>
      <c r="F78" s="111">
        <f t="shared" si="2"/>
        <v>207583.06512616493</v>
      </c>
      <c r="G78" s="112">
        <f t="shared" si="2"/>
        <v>63.589018531890936</v>
      </c>
      <c r="H78" s="112">
        <f t="shared" si="2"/>
        <v>52.75504318520372</v>
      </c>
      <c r="I78" s="95">
        <f t="shared" si="2"/>
        <v>49.14371806964132</v>
      </c>
    </row>
    <row r="79" spans="1:9" ht="12.75">
      <c r="A79" s="14"/>
      <c r="B79" s="15"/>
      <c r="C79" s="15"/>
      <c r="D79" s="21"/>
      <c r="E79" s="21"/>
      <c r="F79" s="21"/>
      <c r="G79" s="21"/>
      <c r="H79" s="21"/>
      <c r="I79" s="21"/>
    </row>
    <row r="80" spans="1:9" ht="13.5" thickBot="1">
      <c r="A80" s="4"/>
      <c r="B80" s="221" t="s">
        <v>65</v>
      </c>
      <c r="C80" s="221"/>
      <c r="D80" s="221"/>
      <c r="E80" s="221"/>
      <c r="F80" s="221"/>
      <c r="G80" s="27"/>
      <c r="H80" s="4"/>
      <c r="I80" s="4"/>
    </row>
    <row r="81" spans="1:9" ht="13.5" thickBot="1">
      <c r="A81" s="125"/>
      <c r="B81" s="222" t="s">
        <v>27</v>
      </c>
      <c r="C81" s="222"/>
      <c r="D81" s="223"/>
      <c r="E81" s="121" t="s">
        <v>51</v>
      </c>
      <c r="F81" s="121" t="s">
        <v>52</v>
      </c>
      <c r="G81" s="120" t="s">
        <v>53</v>
      </c>
      <c r="H81" s="4"/>
      <c r="I81" s="4"/>
    </row>
    <row r="82" spans="1:7" ht="12.75">
      <c r="A82" s="73">
        <v>1</v>
      </c>
      <c r="B82" s="74" t="s">
        <v>38</v>
      </c>
      <c r="C82" s="74"/>
      <c r="D82" s="74"/>
      <c r="E82" s="122">
        <f>H67+G78</f>
        <v>864.4364761590097</v>
      </c>
      <c r="F82" s="122">
        <f>H67+H78</f>
        <v>853.6025008123224</v>
      </c>
      <c r="G82" s="123">
        <f>H67+I78</f>
        <v>849.99117569676</v>
      </c>
    </row>
    <row r="83" spans="1:7" ht="12.75">
      <c r="A83" s="73">
        <v>2</v>
      </c>
      <c r="B83" s="213" t="s">
        <v>99</v>
      </c>
      <c r="C83" s="214"/>
      <c r="D83" s="215"/>
      <c r="E83" s="132">
        <f>1500/1.18</f>
        <v>1271.1864406779662</v>
      </c>
      <c r="F83" s="132">
        <f>E83</f>
        <v>1271.1864406779662</v>
      </c>
      <c r="G83" s="134">
        <f>E83</f>
        <v>1271.1864406779662</v>
      </c>
    </row>
    <row r="84" spans="1:7" ht="12.75">
      <c r="A84" s="73">
        <v>3</v>
      </c>
      <c r="B84" s="216" t="s">
        <v>74</v>
      </c>
      <c r="C84" s="217"/>
      <c r="D84" s="218"/>
      <c r="E84" s="124">
        <f>E83-E82</f>
        <v>406.7499645189565</v>
      </c>
      <c r="F84" s="124">
        <f>F83-F82</f>
        <v>417.58393986564374</v>
      </c>
      <c r="G84" s="135">
        <f>G83-G82</f>
        <v>421.19526498120615</v>
      </c>
    </row>
    <row r="85" spans="1:9" ht="12.75">
      <c r="A85" s="73">
        <v>4</v>
      </c>
      <c r="B85" s="219" t="s">
        <v>63</v>
      </c>
      <c r="C85" s="219"/>
      <c r="D85" s="219"/>
      <c r="E85" s="124">
        <f>E84*0.24</f>
        <v>97.61999148454956</v>
      </c>
      <c r="F85" s="124">
        <f>F84*0.24</f>
        <v>100.2201455677545</v>
      </c>
      <c r="G85" s="135">
        <f>G84*0.24</f>
        <v>101.08686359548948</v>
      </c>
      <c r="H85" s="4"/>
      <c r="I85" s="4"/>
    </row>
    <row r="86" spans="1:7" ht="12.75">
      <c r="A86" s="73">
        <v>5</v>
      </c>
      <c r="B86" s="219" t="s">
        <v>78</v>
      </c>
      <c r="C86" s="219"/>
      <c r="D86" s="219"/>
      <c r="E86" s="126">
        <f>E84-E85</f>
        <v>309.12997303440693</v>
      </c>
      <c r="F86" s="126">
        <f>F84-F85</f>
        <v>317.3637942978892</v>
      </c>
      <c r="G86" s="136">
        <f>G84-G85</f>
        <v>320.10840138571666</v>
      </c>
    </row>
    <row r="87" spans="1:7" ht="12.75">
      <c r="A87" s="73">
        <v>6</v>
      </c>
      <c r="B87" s="211" t="s">
        <v>34</v>
      </c>
      <c r="C87" s="211"/>
      <c r="D87" s="211"/>
      <c r="E87" s="187">
        <f>E86*F21</f>
        <v>19784.318274202044</v>
      </c>
      <c r="F87" s="187">
        <f>F86*G21</f>
        <v>40622.56567012982</v>
      </c>
      <c r="G87" s="188">
        <f>G86*H21</f>
        <v>61460.8130660576</v>
      </c>
    </row>
    <row r="88" spans="1:7" ht="12.75">
      <c r="A88" s="73">
        <v>7</v>
      </c>
      <c r="B88" s="212" t="s">
        <v>39</v>
      </c>
      <c r="C88" s="212"/>
      <c r="D88" s="212"/>
      <c r="E88" s="166">
        <f>E86/E82*100</f>
        <v>35.76086636324954</v>
      </c>
      <c r="F88" s="166">
        <f>F86/F82*100</f>
        <v>37.17934214061851</v>
      </c>
      <c r="G88" s="167">
        <f>G86/G82*100</f>
        <v>37.66020289837896</v>
      </c>
    </row>
    <row r="89" spans="1:7" ht="16.5" thickBot="1">
      <c r="A89" s="138">
        <v>8</v>
      </c>
      <c r="B89" s="184" t="s">
        <v>28</v>
      </c>
      <c r="C89" s="184"/>
      <c r="D89" s="184"/>
      <c r="E89" s="185">
        <f>E30/E87</f>
        <v>63.52403169007544</v>
      </c>
      <c r="F89" s="185">
        <f>E30/F87</f>
        <v>30.937968596628348</v>
      </c>
      <c r="G89" s="186">
        <f>E30/G87</f>
        <v>20.44847112038971</v>
      </c>
    </row>
    <row r="90" spans="4:7" ht="12.75">
      <c r="D90" s="26"/>
      <c r="E90" s="26"/>
      <c r="F90" s="26"/>
      <c r="G90" s="26"/>
    </row>
    <row r="91" spans="2:9" ht="12.75">
      <c r="B91" s="22" t="s">
        <v>30</v>
      </c>
      <c r="C91" s="192" t="s">
        <v>120</v>
      </c>
      <c r="H91" s="4"/>
      <c r="I91" s="4"/>
    </row>
    <row r="92" spans="2:3" ht="12.75">
      <c r="B92" s="22" t="s">
        <v>29</v>
      </c>
      <c r="C92" s="192" t="s">
        <v>129</v>
      </c>
    </row>
    <row r="93" spans="2:3" ht="12.75">
      <c r="B93" s="22" t="s">
        <v>82</v>
      </c>
      <c r="C93" s="1" t="s">
        <v>84</v>
      </c>
    </row>
    <row r="94" spans="2:3" ht="12.75">
      <c r="B94" s="22" t="s">
        <v>83</v>
      </c>
      <c r="C94" s="1" t="s">
        <v>85</v>
      </c>
    </row>
    <row r="95" ht="12.75">
      <c r="B95" s="191" t="s">
        <v>123</v>
      </c>
    </row>
    <row r="96" ht="12.75">
      <c r="B96" s="191" t="s">
        <v>124</v>
      </c>
    </row>
  </sheetData>
  <mergeCells count="83">
    <mergeCell ref="A5:I6"/>
    <mergeCell ref="A7:I7"/>
    <mergeCell ref="C8:F8"/>
    <mergeCell ref="B10:H10"/>
    <mergeCell ref="B12:D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B20:E20"/>
    <mergeCell ref="F20:H20"/>
    <mergeCell ref="B21:E21"/>
    <mergeCell ref="B22:E22"/>
    <mergeCell ref="B23:E23"/>
    <mergeCell ref="B24:E24"/>
    <mergeCell ref="F24:H24"/>
    <mergeCell ref="B25:E25"/>
    <mergeCell ref="F25:H25"/>
    <mergeCell ref="B27:E27"/>
    <mergeCell ref="A28:A29"/>
    <mergeCell ref="B28:D29"/>
    <mergeCell ref="E28:E29"/>
    <mergeCell ref="F28:I28"/>
    <mergeCell ref="A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9:E49"/>
    <mergeCell ref="B50:E50"/>
    <mergeCell ref="B51:E51"/>
    <mergeCell ref="B52:E52"/>
    <mergeCell ref="B53:E53"/>
    <mergeCell ref="B56:G56"/>
    <mergeCell ref="B57:C57"/>
    <mergeCell ref="F57:I57"/>
    <mergeCell ref="B58:C58"/>
    <mergeCell ref="F58:I58"/>
    <mergeCell ref="B59:C59"/>
    <mergeCell ref="F59:I59"/>
    <mergeCell ref="B60:C60"/>
    <mergeCell ref="F60:I60"/>
    <mergeCell ref="B61:C61"/>
    <mergeCell ref="F61:I61"/>
    <mergeCell ref="A64:A65"/>
    <mergeCell ref="B64:D65"/>
    <mergeCell ref="G65:H65"/>
    <mergeCell ref="B66:D66"/>
    <mergeCell ref="B67:D67"/>
    <mergeCell ref="B69:H69"/>
    <mergeCell ref="A70:C71"/>
    <mergeCell ref="D70:F70"/>
    <mergeCell ref="G70:I70"/>
    <mergeCell ref="B72:C72"/>
    <mergeCell ref="B74:C74"/>
    <mergeCell ref="B75:C75"/>
    <mergeCell ref="B76:C76"/>
    <mergeCell ref="B77:C77"/>
    <mergeCell ref="B78:C78"/>
    <mergeCell ref="B80:F80"/>
    <mergeCell ref="B81:D81"/>
    <mergeCell ref="B87:D87"/>
    <mergeCell ref="B88:D88"/>
    <mergeCell ref="B83:D83"/>
    <mergeCell ref="B84:D84"/>
    <mergeCell ref="B85:D85"/>
    <mergeCell ref="B86:D86"/>
  </mergeCells>
  <hyperlinks>
    <hyperlink ref="C91" r:id="rId1" display="www.penolider.ru"/>
    <hyperlink ref="C92" r:id="rId2" display="penolider@v-s-d.ru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92"/>
  <sheetViews>
    <sheetView workbookViewId="0" topLeftCell="A31">
      <selection activeCell="E42" sqref="E42"/>
    </sheetView>
  </sheetViews>
  <sheetFormatPr defaultColWidth="9.00390625" defaultRowHeight="12.75"/>
  <cols>
    <col min="3" max="3" width="13.25390625" style="0" customWidth="1"/>
    <col min="4" max="4" width="15.75390625" style="0" customWidth="1"/>
    <col min="5" max="5" width="12.625" style="0" customWidth="1"/>
    <col min="7" max="7" width="15.00390625" style="0" customWidth="1"/>
    <col min="8" max="8" width="13.625" style="0" customWidth="1"/>
    <col min="9" max="9" width="12.00390625" style="0" customWidth="1"/>
  </cols>
  <sheetData>
    <row r="1" ht="23.25">
      <c r="D1" s="23" t="s">
        <v>79</v>
      </c>
    </row>
    <row r="2" spans="8:9" ht="12.75">
      <c r="H2" s="11"/>
      <c r="I2" s="12"/>
    </row>
    <row r="3" spans="4:9" ht="18">
      <c r="D3" s="1"/>
      <c r="E3" s="2"/>
      <c r="F3" s="2"/>
      <c r="H3" s="11"/>
      <c r="I3" s="13"/>
    </row>
    <row r="4" spans="4:6" ht="12.75">
      <c r="D4" s="1" t="s">
        <v>131</v>
      </c>
      <c r="E4" s="1"/>
      <c r="F4" s="1"/>
    </row>
    <row r="5" spans="4:6" ht="12.75">
      <c r="D5" s="1"/>
      <c r="E5" s="1"/>
      <c r="F5" s="1"/>
    </row>
    <row r="6" spans="1:9" ht="12.75">
      <c r="A6" s="295" t="s">
        <v>64</v>
      </c>
      <c r="B6" s="295"/>
      <c r="C6" s="295"/>
      <c r="D6" s="295"/>
      <c r="E6" s="295"/>
      <c r="F6" s="295"/>
      <c r="G6" s="295"/>
      <c r="H6" s="295"/>
      <c r="I6" s="295"/>
    </row>
    <row r="7" spans="1:9" ht="28.5" customHeight="1">
      <c r="A7" s="295"/>
      <c r="B7" s="295"/>
      <c r="C7" s="295"/>
      <c r="D7" s="295"/>
      <c r="E7" s="295"/>
      <c r="F7" s="295"/>
      <c r="G7" s="295"/>
      <c r="H7" s="295"/>
      <c r="I7" s="295"/>
    </row>
    <row r="8" spans="1:9" ht="12.75">
      <c r="A8" s="296" t="s">
        <v>102</v>
      </c>
      <c r="B8" s="296"/>
      <c r="C8" s="296"/>
      <c r="D8" s="296"/>
      <c r="E8" s="296"/>
      <c r="F8" s="296"/>
      <c r="G8" s="296"/>
      <c r="H8" s="296"/>
      <c r="I8" s="296"/>
    </row>
    <row r="9" spans="3:6" ht="12.75">
      <c r="C9" s="297"/>
      <c r="D9" s="297"/>
      <c r="E9" s="297"/>
      <c r="F9" s="297"/>
    </row>
    <row r="10" spans="3:6" ht="12.75">
      <c r="C10" s="10"/>
      <c r="D10" s="10"/>
      <c r="E10" s="10"/>
      <c r="F10" s="10"/>
    </row>
    <row r="11" spans="2:8" ht="20.25">
      <c r="B11" s="298" t="s">
        <v>133</v>
      </c>
      <c r="C11" s="298"/>
      <c r="D11" s="298"/>
      <c r="E11" s="298"/>
      <c r="F11" s="298"/>
      <c r="G11" s="298"/>
      <c r="H11" s="298"/>
    </row>
    <row r="12" spans="2:8" ht="20.25">
      <c r="B12" s="313"/>
      <c r="C12" s="298"/>
      <c r="D12" s="298"/>
      <c r="E12" s="298"/>
      <c r="F12" s="298"/>
      <c r="G12" s="298"/>
      <c r="H12" s="298"/>
    </row>
    <row r="14" spans="1:9" ht="13.5" thickBot="1">
      <c r="A14" s="4"/>
      <c r="B14" s="221" t="s">
        <v>66</v>
      </c>
      <c r="C14" s="221"/>
      <c r="D14" s="221"/>
      <c r="E14" s="4"/>
      <c r="F14" s="4"/>
      <c r="G14" s="4"/>
      <c r="H14" s="27"/>
      <c r="I14" s="4"/>
    </row>
    <row r="15" spans="1:8" ht="12.75">
      <c r="A15" s="131">
        <v>1</v>
      </c>
      <c r="B15" s="294" t="s">
        <v>46</v>
      </c>
      <c r="C15" s="294"/>
      <c r="D15" s="294"/>
      <c r="E15" s="294"/>
      <c r="F15" s="206" t="s">
        <v>47</v>
      </c>
      <c r="G15" s="206"/>
      <c r="H15" s="207"/>
    </row>
    <row r="16" spans="1:8" ht="12.75">
      <c r="A16" s="65">
        <v>2</v>
      </c>
      <c r="B16" s="282" t="s">
        <v>132</v>
      </c>
      <c r="C16" s="282"/>
      <c r="D16" s="282"/>
      <c r="E16" s="282"/>
      <c r="F16" s="283" t="s">
        <v>135</v>
      </c>
      <c r="G16" s="283"/>
      <c r="H16" s="284"/>
    </row>
    <row r="17" spans="1:8" ht="13.5">
      <c r="A17" s="65">
        <v>3</v>
      </c>
      <c r="B17" s="282" t="s">
        <v>103</v>
      </c>
      <c r="C17" s="282"/>
      <c r="D17" s="282"/>
      <c r="E17" s="282"/>
      <c r="F17" s="311">
        <v>1.2</v>
      </c>
      <c r="G17" s="311"/>
      <c r="H17" s="312"/>
    </row>
    <row r="18" spans="1:8" ht="12.75">
      <c r="A18" s="65">
        <v>4</v>
      </c>
      <c r="B18" s="290" t="s">
        <v>42</v>
      </c>
      <c r="C18" s="290"/>
      <c r="D18" s="290"/>
      <c r="E18" s="290"/>
      <c r="F18" s="291">
        <v>8</v>
      </c>
      <c r="G18" s="291"/>
      <c r="H18" s="292"/>
    </row>
    <row r="19" spans="1:8" ht="12.75">
      <c r="A19" s="65">
        <v>5</v>
      </c>
      <c r="B19" s="282" t="s">
        <v>3</v>
      </c>
      <c r="C19" s="282"/>
      <c r="D19" s="282"/>
      <c r="E19" s="282"/>
      <c r="F19" s="285">
        <v>22</v>
      </c>
      <c r="G19" s="285"/>
      <c r="H19" s="286"/>
    </row>
    <row r="20" spans="1:8" ht="12.75">
      <c r="A20" s="65">
        <v>6</v>
      </c>
      <c r="B20" s="282" t="s">
        <v>4</v>
      </c>
      <c r="C20" s="282"/>
      <c r="D20" s="282"/>
      <c r="E20" s="282"/>
      <c r="F20" s="283">
        <v>8</v>
      </c>
      <c r="G20" s="283"/>
      <c r="H20" s="284"/>
    </row>
    <row r="21" spans="1:8" ht="12.75">
      <c r="A21" s="65">
        <v>8</v>
      </c>
      <c r="B21" s="282" t="s">
        <v>5</v>
      </c>
      <c r="C21" s="282"/>
      <c r="D21" s="282"/>
      <c r="E21" s="282"/>
      <c r="F21" s="25">
        <v>1</v>
      </c>
      <c r="G21" s="25">
        <v>2</v>
      </c>
      <c r="H21" s="30">
        <v>3</v>
      </c>
    </row>
    <row r="22" spans="1:8" ht="13.5">
      <c r="A22" s="65">
        <v>9</v>
      </c>
      <c r="B22" s="282" t="s">
        <v>44</v>
      </c>
      <c r="C22" s="282"/>
      <c r="D22" s="282"/>
      <c r="E22" s="282"/>
      <c r="F22" s="283">
        <f>F18*F20</f>
        <v>64</v>
      </c>
      <c r="G22" s="283"/>
      <c r="H22" s="284"/>
    </row>
    <row r="23" spans="1:8" ht="13.5">
      <c r="A23" s="65">
        <v>10</v>
      </c>
      <c r="B23" s="310" t="s">
        <v>48</v>
      </c>
      <c r="C23" s="276"/>
      <c r="D23" s="276"/>
      <c r="E23" s="277"/>
      <c r="F23" s="24">
        <f>F22*F21</f>
        <v>64</v>
      </c>
      <c r="G23" s="24">
        <f>F22*G21</f>
        <v>128</v>
      </c>
      <c r="H23" s="29">
        <f>F22*H21</f>
        <v>192</v>
      </c>
    </row>
    <row r="24" spans="1:8" ht="13.5" thickBot="1">
      <c r="A24" s="97">
        <v>13</v>
      </c>
      <c r="B24" s="279" t="s">
        <v>36</v>
      </c>
      <c r="C24" s="279"/>
      <c r="D24" s="279"/>
      <c r="E24" s="279"/>
      <c r="F24" s="280" t="s">
        <v>136</v>
      </c>
      <c r="G24" s="280"/>
      <c r="H24" s="281"/>
    </row>
    <row r="25" spans="1:8" ht="12.75">
      <c r="A25" s="38"/>
      <c r="B25" s="260"/>
      <c r="C25" s="260"/>
      <c r="D25" s="260"/>
      <c r="E25" s="260"/>
      <c r="F25" s="261"/>
      <c r="G25" s="262"/>
      <c r="H25" s="262"/>
    </row>
    <row r="27" spans="1:9" ht="13.5" thickBot="1">
      <c r="A27" s="4"/>
      <c r="B27" s="241" t="s">
        <v>67</v>
      </c>
      <c r="C27" s="241"/>
      <c r="D27" s="241"/>
      <c r="E27" s="241"/>
      <c r="F27" s="4"/>
      <c r="G27" s="4"/>
      <c r="H27" s="172"/>
      <c r="I27" s="173"/>
    </row>
    <row r="28" spans="1:9" ht="12.75">
      <c r="A28" s="263" t="s">
        <v>6</v>
      </c>
      <c r="B28" s="265" t="s">
        <v>0</v>
      </c>
      <c r="C28" s="266"/>
      <c r="D28" s="267"/>
      <c r="E28" s="271" t="s">
        <v>104</v>
      </c>
      <c r="F28" s="308" t="s">
        <v>105</v>
      </c>
      <c r="G28" s="309"/>
      <c r="H28" s="174"/>
      <c r="I28" s="174"/>
    </row>
    <row r="29" spans="1:9" ht="13.5" thickBot="1">
      <c r="A29" s="264"/>
      <c r="B29" s="268"/>
      <c r="C29" s="269"/>
      <c r="D29" s="270"/>
      <c r="E29" s="272"/>
      <c r="F29" s="61" t="s">
        <v>106</v>
      </c>
      <c r="G29" s="175" t="s">
        <v>107</v>
      </c>
      <c r="H29" s="176"/>
      <c r="I29" s="176"/>
    </row>
    <row r="30" spans="1:9" ht="13.5" thickBot="1">
      <c r="A30" s="168"/>
      <c r="B30" s="169" t="s">
        <v>128</v>
      </c>
      <c r="C30" s="170"/>
      <c r="D30" s="171"/>
      <c r="E30" s="189">
        <f>1783000/1.18</f>
        <v>1511016.9491525425</v>
      </c>
      <c r="F30" s="183">
        <v>25</v>
      </c>
      <c r="G30" s="148">
        <f>F30*E30/100</f>
        <v>377754.2372881357</v>
      </c>
      <c r="H30" s="177"/>
      <c r="I30" s="177"/>
    </row>
    <row r="31" ht="12.75">
      <c r="A31" s="35" t="s">
        <v>121</v>
      </c>
    </row>
    <row r="32" ht="12.75">
      <c r="A32" s="35"/>
    </row>
    <row r="33" spans="1:9" ht="13.5" thickBot="1">
      <c r="A33" s="4"/>
      <c r="B33" s="129" t="s">
        <v>108</v>
      </c>
      <c r="C33" s="129"/>
      <c r="D33" s="129"/>
      <c r="E33" s="129"/>
      <c r="F33" s="129"/>
      <c r="G33" s="129"/>
      <c r="H33" s="4"/>
      <c r="I33" s="27"/>
    </row>
    <row r="34" spans="1:9" ht="26.25" thickBot="1">
      <c r="A34" s="257" t="s">
        <v>12</v>
      </c>
      <c r="B34" s="258"/>
      <c r="C34" s="258"/>
      <c r="D34" s="259"/>
      <c r="E34" s="70" t="s">
        <v>31</v>
      </c>
      <c r="F34" s="70" t="s">
        <v>33</v>
      </c>
      <c r="G34" s="70" t="s">
        <v>13</v>
      </c>
      <c r="H34" s="70" t="s">
        <v>40</v>
      </c>
      <c r="I34" s="71" t="s">
        <v>55</v>
      </c>
    </row>
    <row r="35" spans="1:9" ht="12.75">
      <c r="A35" s="72">
        <v>1</v>
      </c>
      <c r="B35" s="224" t="s">
        <v>8</v>
      </c>
      <c r="C35" s="224"/>
      <c r="D35" s="224"/>
      <c r="E35" s="83">
        <v>4</v>
      </c>
      <c r="F35" s="84">
        <v>1</v>
      </c>
      <c r="G35" s="83">
        <f>F35*E35</f>
        <v>4</v>
      </c>
      <c r="H35" s="83">
        <v>4</v>
      </c>
      <c r="I35" s="85">
        <f>H35*G35</f>
        <v>16</v>
      </c>
    </row>
    <row r="36" spans="1:9" ht="12.75">
      <c r="A36" s="73">
        <v>3</v>
      </c>
      <c r="B36" s="211" t="s">
        <v>41</v>
      </c>
      <c r="C36" s="211"/>
      <c r="D36" s="211"/>
      <c r="E36" s="86">
        <v>7.5</v>
      </c>
      <c r="F36" s="25">
        <v>1</v>
      </c>
      <c r="G36" s="86">
        <v>7.5</v>
      </c>
      <c r="H36" s="86">
        <v>3</v>
      </c>
      <c r="I36" s="87">
        <f>H36*G36</f>
        <v>22.5</v>
      </c>
    </row>
    <row r="37" spans="1:9" ht="12.75">
      <c r="A37" s="73">
        <v>4</v>
      </c>
      <c r="B37" s="249" t="s">
        <v>56</v>
      </c>
      <c r="C37" s="250"/>
      <c r="D37" s="251"/>
      <c r="E37" s="86">
        <v>4</v>
      </c>
      <c r="F37" s="25">
        <v>1</v>
      </c>
      <c r="G37" s="86">
        <v>4</v>
      </c>
      <c r="H37" s="86">
        <v>0.25</v>
      </c>
      <c r="I37" s="87">
        <f>G37*H37</f>
        <v>1</v>
      </c>
    </row>
    <row r="38" spans="1:9" ht="12.75">
      <c r="A38" s="73">
        <v>5</v>
      </c>
      <c r="B38" s="249" t="s">
        <v>32</v>
      </c>
      <c r="C38" s="250"/>
      <c r="D38" s="251"/>
      <c r="E38" s="86">
        <v>2.2</v>
      </c>
      <c r="F38" s="25">
        <v>1</v>
      </c>
      <c r="G38" s="86">
        <f>F38*E38</f>
        <v>2.2</v>
      </c>
      <c r="H38" s="86">
        <v>3</v>
      </c>
      <c r="I38" s="87">
        <f>H38*G38</f>
        <v>6.6000000000000005</v>
      </c>
    </row>
    <row r="39" spans="1:9" ht="12.75">
      <c r="A39" s="73">
        <v>6</v>
      </c>
      <c r="B39" s="211" t="s">
        <v>37</v>
      </c>
      <c r="C39" s="211"/>
      <c r="D39" s="211"/>
      <c r="E39" s="86">
        <v>2.7</v>
      </c>
      <c r="F39" s="25">
        <v>1</v>
      </c>
      <c r="G39" s="86">
        <f>F39*E39</f>
        <v>2.7</v>
      </c>
      <c r="H39" s="86">
        <v>8</v>
      </c>
      <c r="I39" s="87">
        <f>H39*G39</f>
        <v>21.6</v>
      </c>
    </row>
    <row r="40" spans="1:9" ht="12.75">
      <c r="A40" s="73">
        <v>7</v>
      </c>
      <c r="B40" s="211" t="s">
        <v>109</v>
      </c>
      <c r="C40" s="211"/>
      <c r="D40" s="211"/>
      <c r="E40" s="86">
        <v>1.1</v>
      </c>
      <c r="F40" s="25">
        <v>3</v>
      </c>
      <c r="G40" s="86">
        <f>F40*E40</f>
        <v>3.3000000000000003</v>
      </c>
      <c r="H40" s="86">
        <v>4</v>
      </c>
      <c r="I40" s="87">
        <f>H40*G40</f>
        <v>13.200000000000001</v>
      </c>
    </row>
    <row r="41" spans="1:9" ht="12.75">
      <c r="A41" s="73">
        <v>8</v>
      </c>
      <c r="B41" s="249" t="s">
        <v>110</v>
      </c>
      <c r="C41" s="250"/>
      <c r="D41" s="251"/>
      <c r="E41" s="86">
        <v>2</v>
      </c>
      <c r="F41" s="25">
        <v>1</v>
      </c>
      <c r="G41" s="86">
        <f>F41*E41</f>
        <v>2</v>
      </c>
      <c r="H41" s="86">
        <v>8</v>
      </c>
      <c r="I41" s="87">
        <f>H41*G41</f>
        <v>16</v>
      </c>
    </row>
    <row r="42" spans="1:9" ht="13.5" thickBot="1">
      <c r="A42" s="77"/>
      <c r="B42" s="238" t="s">
        <v>15</v>
      </c>
      <c r="C42" s="239"/>
      <c r="D42" s="239"/>
      <c r="E42" s="79"/>
      <c r="F42" s="78"/>
      <c r="G42" s="80"/>
      <c r="H42" s="81"/>
      <c r="I42" s="82">
        <f>SUM(I35:I41)</f>
        <v>96.9</v>
      </c>
    </row>
    <row r="43" spans="1:9" ht="26.25" thickBot="1">
      <c r="A43" s="257" t="s">
        <v>12</v>
      </c>
      <c r="B43" s="258"/>
      <c r="C43" s="258"/>
      <c r="D43" s="259"/>
      <c r="E43" s="70" t="s">
        <v>111</v>
      </c>
      <c r="F43" s="70" t="s">
        <v>33</v>
      </c>
      <c r="G43" s="70" t="s">
        <v>13</v>
      </c>
      <c r="H43" s="70" t="s">
        <v>40</v>
      </c>
      <c r="I43" s="71" t="s">
        <v>112</v>
      </c>
    </row>
    <row r="44" spans="1:9" ht="12.75">
      <c r="A44" s="73">
        <v>9</v>
      </c>
      <c r="B44" s="249" t="s">
        <v>113</v>
      </c>
      <c r="C44" s="250"/>
      <c r="D44" s="251"/>
      <c r="E44" s="86">
        <v>14</v>
      </c>
      <c r="F44" s="25">
        <v>1</v>
      </c>
      <c r="G44" s="86">
        <f>F44*E44</f>
        <v>14</v>
      </c>
      <c r="H44" s="86">
        <v>8</v>
      </c>
      <c r="I44" s="87">
        <f>H44*G44</f>
        <v>112</v>
      </c>
    </row>
    <row r="45" spans="1:9" ht="12.75">
      <c r="A45" s="14"/>
      <c r="B45" s="178"/>
      <c r="C45" s="15"/>
      <c r="D45" s="15"/>
      <c r="E45" s="179"/>
      <c r="F45" s="178"/>
      <c r="G45" s="180"/>
      <c r="H45" s="15"/>
      <c r="I45" s="14"/>
    </row>
    <row r="47" spans="1:9" ht="13.5" thickBot="1">
      <c r="A47" s="4"/>
      <c r="B47" s="245" t="s">
        <v>72</v>
      </c>
      <c r="C47" s="245"/>
      <c r="D47" s="245"/>
      <c r="E47" s="245"/>
      <c r="F47" s="4"/>
      <c r="G47" s="4"/>
      <c r="H47" s="27"/>
      <c r="I47" s="4"/>
    </row>
    <row r="48" spans="1:9" ht="12.75">
      <c r="A48" s="88" t="s">
        <v>6</v>
      </c>
      <c r="B48" s="246" t="s">
        <v>17</v>
      </c>
      <c r="C48" s="247"/>
      <c r="D48" s="247"/>
      <c r="E48" s="248"/>
      <c r="F48" s="66" t="s">
        <v>18</v>
      </c>
      <c r="G48" s="66" t="s">
        <v>19</v>
      </c>
      <c r="H48" s="67" t="s">
        <v>7</v>
      </c>
      <c r="I48" s="4"/>
    </row>
    <row r="49" spans="1:8" ht="12.75">
      <c r="A49" s="73">
        <v>1</v>
      </c>
      <c r="B49" s="249" t="s">
        <v>114</v>
      </c>
      <c r="C49" s="250"/>
      <c r="D49" s="250"/>
      <c r="E49" s="251"/>
      <c r="F49" s="25">
        <v>2</v>
      </c>
      <c r="G49" s="8">
        <v>14000</v>
      </c>
      <c r="H49" s="93">
        <f>F49*G49</f>
        <v>28000</v>
      </c>
    </row>
    <row r="50" spans="1:9" ht="13.5" thickBot="1">
      <c r="A50" s="77"/>
      <c r="B50" s="238" t="s">
        <v>20</v>
      </c>
      <c r="C50" s="239"/>
      <c r="D50" s="239"/>
      <c r="E50" s="240"/>
      <c r="F50" s="62">
        <f>SUM(F49:F49)</f>
        <v>2</v>
      </c>
      <c r="G50" s="91"/>
      <c r="H50" s="92">
        <f>SUM(H49:H49)</f>
        <v>28000</v>
      </c>
      <c r="I50" s="4"/>
    </row>
    <row r="51" spans="1:9" ht="12.75">
      <c r="A51" s="14"/>
      <c r="B51" s="15"/>
      <c r="C51" s="15"/>
      <c r="D51" s="15"/>
      <c r="E51" s="15"/>
      <c r="F51" s="14"/>
      <c r="G51" s="14"/>
      <c r="H51" s="14"/>
      <c r="I51" s="4"/>
    </row>
    <row r="52" spans="1:9" ht="12.75">
      <c r="A52" s="14"/>
      <c r="B52" s="15"/>
      <c r="C52" s="15"/>
      <c r="D52" s="15"/>
      <c r="E52" s="15"/>
      <c r="F52" s="14"/>
      <c r="G52" s="16"/>
      <c r="H52" s="17"/>
      <c r="I52" s="15"/>
    </row>
    <row r="53" spans="1:9" ht="13.5" thickBot="1">
      <c r="A53" s="4"/>
      <c r="B53" s="241" t="s">
        <v>69</v>
      </c>
      <c r="C53" s="241"/>
      <c r="D53" s="241"/>
      <c r="E53" s="241"/>
      <c r="F53" s="241"/>
      <c r="G53" s="241"/>
      <c r="H53" s="4"/>
      <c r="I53" s="27"/>
    </row>
    <row r="54" spans="1:9" ht="25.5">
      <c r="A54" s="64" t="s">
        <v>6</v>
      </c>
      <c r="B54" s="242" t="s">
        <v>0</v>
      </c>
      <c r="C54" s="243"/>
      <c r="D54" s="96" t="s">
        <v>2</v>
      </c>
      <c r="E54" s="60" t="s">
        <v>104</v>
      </c>
      <c r="F54" s="203" t="s">
        <v>1</v>
      </c>
      <c r="G54" s="203"/>
      <c r="H54" s="203"/>
      <c r="I54" s="244"/>
    </row>
    <row r="55" spans="1:9" ht="12.75" customHeight="1">
      <c r="A55" s="65">
        <v>1</v>
      </c>
      <c r="B55" s="234" t="s">
        <v>115</v>
      </c>
      <c r="C55" s="235"/>
      <c r="D55" s="55" t="s">
        <v>10</v>
      </c>
      <c r="E55" s="7">
        <f>63000/1.18</f>
        <v>53389.83050847458</v>
      </c>
      <c r="F55" s="299" t="s">
        <v>122</v>
      </c>
      <c r="G55" s="300"/>
      <c r="H55" s="300"/>
      <c r="I55" s="301"/>
    </row>
    <row r="56" spans="1:9" ht="12.75">
      <c r="A56" s="65">
        <v>2</v>
      </c>
      <c r="B56" s="234" t="s">
        <v>116</v>
      </c>
      <c r="C56" s="235"/>
      <c r="D56" s="55" t="s">
        <v>117</v>
      </c>
      <c r="E56" s="37">
        <f>3/1.18</f>
        <v>2.5423728813559325</v>
      </c>
      <c r="F56" s="302"/>
      <c r="G56" s="303"/>
      <c r="H56" s="303"/>
      <c r="I56" s="304"/>
    </row>
    <row r="57" spans="1:9" ht="12.75">
      <c r="A57" s="65">
        <v>3</v>
      </c>
      <c r="B57" s="227" t="s">
        <v>11</v>
      </c>
      <c r="C57" s="227"/>
      <c r="D57" s="55" t="s">
        <v>35</v>
      </c>
      <c r="E57" s="37">
        <f>3/1.18</f>
        <v>2.5423728813559325</v>
      </c>
      <c r="F57" s="305"/>
      <c r="G57" s="306"/>
      <c r="H57" s="306"/>
      <c r="I57" s="307"/>
    </row>
    <row r="59" spans="1:9" ht="15" thickBot="1">
      <c r="A59" s="4"/>
      <c r="B59" s="130" t="s">
        <v>70</v>
      </c>
      <c r="C59" s="130"/>
      <c r="D59" s="130"/>
      <c r="E59" s="130"/>
      <c r="F59" s="130"/>
      <c r="G59" s="4"/>
      <c r="H59" s="27"/>
      <c r="I59" s="4"/>
    </row>
    <row r="60" spans="1:9" ht="12.75">
      <c r="A60" s="202" t="s">
        <v>6</v>
      </c>
      <c r="B60" s="203" t="s">
        <v>0</v>
      </c>
      <c r="C60" s="203"/>
      <c r="D60" s="203"/>
      <c r="E60" s="89" t="s">
        <v>16</v>
      </c>
      <c r="F60" s="90"/>
      <c r="G60" s="90"/>
      <c r="H60" s="101"/>
      <c r="I60" s="4"/>
    </row>
    <row r="61" spans="1:9" ht="39" thickBot="1">
      <c r="A61" s="208"/>
      <c r="B61" s="209"/>
      <c r="C61" s="209"/>
      <c r="D61" s="209"/>
      <c r="E61" s="102" t="s">
        <v>22</v>
      </c>
      <c r="F61" s="181" t="s">
        <v>118</v>
      </c>
      <c r="G61" s="197" t="s">
        <v>60</v>
      </c>
      <c r="H61" s="198"/>
      <c r="I61" s="10"/>
    </row>
    <row r="62" spans="1:8" ht="12.75">
      <c r="A62" s="99">
        <v>1</v>
      </c>
      <c r="B62" s="199" t="s">
        <v>77</v>
      </c>
      <c r="C62" s="199"/>
      <c r="D62" s="200"/>
      <c r="E62" s="106">
        <v>15.1</v>
      </c>
      <c r="F62" s="107">
        <f>E55/1000</f>
        <v>53.38983050847458</v>
      </c>
      <c r="G62" s="108"/>
      <c r="H62" s="109">
        <f>E62*F62</f>
        <v>806.1864406779662</v>
      </c>
    </row>
    <row r="63" spans="1:9" ht="15" thickBot="1">
      <c r="A63" s="100"/>
      <c r="B63" s="210" t="s">
        <v>61</v>
      </c>
      <c r="C63" s="210"/>
      <c r="D63" s="201"/>
      <c r="E63" s="103">
        <f>SUM(E62:E62)</f>
        <v>15.1</v>
      </c>
      <c r="F63" s="91"/>
      <c r="G63" s="104"/>
      <c r="H63" s="105">
        <f>SUM(H62:H62)</f>
        <v>806.1864406779662</v>
      </c>
      <c r="I63" s="4"/>
    </row>
    <row r="64" spans="1:9" ht="12.75">
      <c r="A64" s="14"/>
      <c r="B64" s="19"/>
      <c r="C64" s="19"/>
      <c r="D64" s="19"/>
      <c r="E64" s="14"/>
      <c r="F64" s="14"/>
      <c r="G64" s="20"/>
      <c r="H64" s="20"/>
      <c r="I64" s="18"/>
    </row>
    <row r="65" spans="1:9" ht="13.5" thickBot="1">
      <c r="A65" s="4"/>
      <c r="B65" s="221" t="s">
        <v>71</v>
      </c>
      <c r="C65" s="221"/>
      <c r="D65" s="221"/>
      <c r="E65" s="221"/>
      <c r="F65" s="221"/>
      <c r="G65" s="221"/>
      <c r="H65" s="221"/>
      <c r="I65" s="27"/>
    </row>
    <row r="66" spans="1:9" ht="14.25">
      <c r="A66" s="202" t="s">
        <v>23</v>
      </c>
      <c r="B66" s="203"/>
      <c r="C66" s="203"/>
      <c r="D66" s="206" t="s">
        <v>24</v>
      </c>
      <c r="E66" s="206"/>
      <c r="F66" s="206"/>
      <c r="G66" s="206" t="s">
        <v>62</v>
      </c>
      <c r="H66" s="206"/>
      <c r="I66" s="207"/>
    </row>
    <row r="67" spans="1:9" ht="13.5" thickBot="1">
      <c r="A67" s="204"/>
      <c r="B67" s="205"/>
      <c r="C67" s="205"/>
      <c r="D67" s="62" t="s">
        <v>51</v>
      </c>
      <c r="E67" s="62" t="s">
        <v>52</v>
      </c>
      <c r="F67" s="94" t="s">
        <v>53</v>
      </c>
      <c r="G67" s="62" t="s">
        <v>51</v>
      </c>
      <c r="H67" s="62" t="s">
        <v>52</v>
      </c>
      <c r="I67" s="110" t="s">
        <v>53</v>
      </c>
    </row>
    <row r="68" spans="1:9" ht="12.75">
      <c r="A68" s="72">
        <v>1</v>
      </c>
      <c r="B68" s="224" t="s">
        <v>11</v>
      </c>
      <c r="C68" s="224"/>
      <c r="D68" s="113">
        <f>I42*E57*22</f>
        <v>5419.830508474577</v>
      </c>
      <c r="E68" s="113">
        <f>I42*E57*F19*G21</f>
        <v>10839.661016949154</v>
      </c>
      <c r="F68" s="83">
        <f>I42*E57*F19*H21</f>
        <v>16259.491525423731</v>
      </c>
      <c r="G68" s="114">
        <f>D68/F19/F23</f>
        <v>3.8493114406779667</v>
      </c>
      <c r="H68" s="115">
        <f>E68/F19/G23</f>
        <v>3.8493114406779667</v>
      </c>
      <c r="I68" s="116">
        <f>F68/F19/H23</f>
        <v>3.8493114406779667</v>
      </c>
    </row>
    <row r="69" spans="1:9" ht="12.75">
      <c r="A69" s="72">
        <v>2</v>
      </c>
      <c r="B69" s="144" t="s">
        <v>116</v>
      </c>
      <c r="C69" s="144"/>
      <c r="D69" s="113">
        <f>E56*I44*F19</f>
        <v>6264.406779661018</v>
      </c>
      <c r="E69" s="113">
        <f>E56*I44*F19*G21</f>
        <v>12528.813559322036</v>
      </c>
      <c r="F69" s="83">
        <f>E56*I44*F19*H21</f>
        <v>18793.220338983054</v>
      </c>
      <c r="G69" s="114">
        <f>D69/F19/F23</f>
        <v>4.449152542372882</v>
      </c>
      <c r="H69" s="115">
        <f>E69/F19/G23</f>
        <v>4.449152542372882</v>
      </c>
      <c r="I69" s="116">
        <f>F69/F19/H23</f>
        <v>4.4491525423728815</v>
      </c>
    </row>
    <row r="70" spans="1:9" ht="12.75">
      <c r="A70" s="72">
        <v>3</v>
      </c>
      <c r="B70" s="211" t="s">
        <v>25</v>
      </c>
      <c r="C70" s="211"/>
      <c r="D70" s="117">
        <f>H50*F21</f>
        <v>28000</v>
      </c>
      <c r="E70" s="117">
        <f>H50*G21</f>
        <v>56000</v>
      </c>
      <c r="F70" s="86">
        <f>H50*H21</f>
        <v>84000</v>
      </c>
      <c r="G70" s="118">
        <f>D70/F19/F22</f>
        <v>19.886363636363637</v>
      </c>
      <c r="H70" s="36">
        <f>E70/F19/F22/G21</f>
        <v>19.886363636363637</v>
      </c>
      <c r="I70" s="119">
        <f>F70/F19/F22/H21</f>
        <v>19.886363636363637</v>
      </c>
    </row>
    <row r="71" spans="1:9" ht="12.75">
      <c r="A71" s="72">
        <v>4</v>
      </c>
      <c r="B71" s="225" t="s">
        <v>73</v>
      </c>
      <c r="C71" s="226"/>
      <c r="D71" s="127">
        <f aca="true" t="shared" si="0" ref="D71:I71">D70*0.277</f>
        <v>7756.000000000001</v>
      </c>
      <c r="E71" s="127">
        <f t="shared" si="0"/>
        <v>15512.000000000002</v>
      </c>
      <c r="F71" s="127">
        <f t="shared" si="0"/>
        <v>23268.000000000004</v>
      </c>
      <c r="G71" s="127">
        <f t="shared" si="0"/>
        <v>5.5085227272727275</v>
      </c>
      <c r="H71" s="127">
        <f t="shared" si="0"/>
        <v>5.5085227272727275</v>
      </c>
      <c r="I71" s="127">
        <f t="shared" si="0"/>
        <v>5.5085227272727275</v>
      </c>
    </row>
    <row r="72" spans="1:9" ht="12.75">
      <c r="A72" s="72">
        <v>5</v>
      </c>
      <c r="B72" s="211" t="s">
        <v>26</v>
      </c>
      <c r="C72" s="211"/>
      <c r="D72" s="117">
        <f>G30/12</f>
        <v>31479.519774011307</v>
      </c>
      <c r="E72" s="117">
        <f>D72</f>
        <v>31479.519774011307</v>
      </c>
      <c r="F72" s="117">
        <f>D72</f>
        <v>31479.519774011307</v>
      </c>
      <c r="G72" s="118">
        <f>D72/F19/F22</f>
        <v>22.357613475860305</v>
      </c>
      <c r="H72" s="36">
        <f>E72/F19/F22/G21</f>
        <v>11.178806737930152</v>
      </c>
      <c r="I72" s="119">
        <f>F72/F19/F22/H21</f>
        <v>7.452537825286768</v>
      </c>
    </row>
    <row r="73" spans="1:9" ht="13.5" thickBot="1">
      <c r="A73" s="77"/>
      <c r="B73" s="220" t="s">
        <v>9</v>
      </c>
      <c r="C73" s="220"/>
      <c r="D73" s="111">
        <f aca="true" t="shared" si="1" ref="D73:I73">SUM(D68:D72)</f>
        <v>78919.7570621469</v>
      </c>
      <c r="E73" s="111">
        <f t="shared" si="1"/>
        <v>126359.9943502825</v>
      </c>
      <c r="F73" s="111">
        <f t="shared" si="1"/>
        <v>173800.2316384181</v>
      </c>
      <c r="G73" s="112">
        <f t="shared" si="1"/>
        <v>56.050963822547516</v>
      </c>
      <c r="H73" s="112">
        <f t="shared" si="1"/>
        <v>44.87215708461736</v>
      </c>
      <c r="I73" s="95">
        <f t="shared" si="1"/>
        <v>41.14588817197398</v>
      </c>
    </row>
    <row r="74" spans="1:9" ht="12.75">
      <c r="A74" s="14"/>
      <c r="B74" s="15"/>
      <c r="C74" s="15"/>
      <c r="D74" s="21"/>
      <c r="E74" s="21"/>
      <c r="F74" s="21"/>
      <c r="G74" s="21"/>
      <c r="H74" s="21"/>
      <c r="I74" s="21"/>
    </row>
    <row r="75" spans="1:9" ht="13.5" thickBot="1">
      <c r="A75" s="4"/>
      <c r="B75" s="221" t="s">
        <v>65</v>
      </c>
      <c r="C75" s="221"/>
      <c r="D75" s="221"/>
      <c r="E75" s="221"/>
      <c r="F75" s="221"/>
      <c r="G75" s="27"/>
      <c r="H75" s="4"/>
      <c r="I75" s="4"/>
    </row>
    <row r="76" spans="1:9" ht="13.5" thickBot="1">
      <c r="A76" s="125"/>
      <c r="B76" s="222" t="s">
        <v>27</v>
      </c>
      <c r="C76" s="222"/>
      <c r="D76" s="223"/>
      <c r="E76" s="121" t="s">
        <v>51</v>
      </c>
      <c r="F76" s="121" t="s">
        <v>52</v>
      </c>
      <c r="G76" s="120" t="s">
        <v>53</v>
      </c>
      <c r="H76" s="4"/>
      <c r="I76" s="4"/>
    </row>
    <row r="77" spans="1:7" ht="12.75">
      <c r="A77" s="73">
        <v>1</v>
      </c>
      <c r="B77" s="74" t="s">
        <v>38</v>
      </c>
      <c r="C77" s="74"/>
      <c r="D77" s="74"/>
      <c r="E77" s="122">
        <f>H63+G73</f>
        <v>862.2374045005137</v>
      </c>
      <c r="F77" s="122">
        <f>H63+H73</f>
        <v>851.0585977625835</v>
      </c>
      <c r="G77" s="123">
        <f>H63+I73</f>
        <v>847.3323288499402</v>
      </c>
    </row>
    <row r="78" spans="1:7" ht="12.75">
      <c r="A78" s="73">
        <v>2</v>
      </c>
      <c r="B78" s="74" t="s">
        <v>99</v>
      </c>
      <c r="C78" s="74"/>
      <c r="D78" s="74"/>
      <c r="E78" s="132">
        <f>1500/1.18</f>
        <v>1271.1864406779662</v>
      </c>
      <c r="F78" s="132">
        <f>E78</f>
        <v>1271.1864406779662</v>
      </c>
      <c r="G78" s="134">
        <f>E78</f>
        <v>1271.1864406779662</v>
      </c>
    </row>
    <row r="79" spans="1:7" ht="12.75">
      <c r="A79" s="73">
        <v>3</v>
      </c>
      <c r="B79" s="216" t="s">
        <v>74</v>
      </c>
      <c r="C79" s="217"/>
      <c r="D79" s="218"/>
      <c r="E79" s="124">
        <f>E78-E77</f>
        <v>408.9490361774525</v>
      </c>
      <c r="F79" s="124">
        <f>F78-F77</f>
        <v>420.12784291538264</v>
      </c>
      <c r="G79" s="135">
        <f>G78-G77</f>
        <v>423.854111828026</v>
      </c>
    </row>
    <row r="80" spans="1:9" ht="12.75">
      <c r="A80" s="73">
        <v>4</v>
      </c>
      <c r="B80" s="219" t="s">
        <v>119</v>
      </c>
      <c r="C80" s="219"/>
      <c r="D80" s="219"/>
      <c r="E80" s="124">
        <f>E79*0.24</f>
        <v>98.1477686825886</v>
      </c>
      <c r="F80" s="124">
        <f>F79*0.24</f>
        <v>100.83068229969183</v>
      </c>
      <c r="G80" s="135">
        <f>G79*0.24</f>
        <v>101.72498683872624</v>
      </c>
      <c r="H80" s="4"/>
      <c r="I80" s="4"/>
    </row>
    <row r="81" spans="1:7" ht="12.75">
      <c r="A81" s="73">
        <v>5</v>
      </c>
      <c r="B81" s="219" t="s">
        <v>78</v>
      </c>
      <c r="C81" s="219"/>
      <c r="D81" s="219"/>
      <c r="E81" s="126">
        <f>E79-E80</f>
        <v>310.8012674948639</v>
      </c>
      <c r="F81" s="126">
        <f>F79-F80</f>
        <v>319.2971606156908</v>
      </c>
      <c r="G81" s="136">
        <f>G79-G80</f>
        <v>322.1291249892998</v>
      </c>
    </row>
    <row r="82" spans="1:7" ht="12.75">
      <c r="A82" s="73">
        <v>6</v>
      </c>
      <c r="B82" s="211" t="s">
        <v>34</v>
      </c>
      <c r="C82" s="211"/>
      <c r="D82" s="211"/>
      <c r="E82" s="187">
        <f>E81*F23</f>
        <v>19891.28111967129</v>
      </c>
      <c r="F82" s="187">
        <f>F81*G23</f>
        <v>40870.036558808424</v>
      </c>
      <c r="G82" s="188">
        <f>G81*H23</f>
        <v>61848.79199794556</v>
      </c>
    </row>
    <row r="83" spans="1:7" ht="16.5" thickBot="1">
      <c r="A83" s="138">
        <v>7</v>
      </c>
      <c r="B83" s="137" t="s">
        <v>28</v>
      </c>
      <c r="C83" s="137"/>
      <c r="D83" s="137"/>
      <c r="E83" s="185">
        <f>E30/E82</f>
        <v>75.96378232562591</v>
      </c>
      <c r="F83" s="185">
        <f>E30/F82</f>
        <v>36.971264926037456</v>
      </c>
      <c r="G83" s="186">
        <f>E30/G82</f>
        <v>24.43082395534474</v>
      </c>
    </row>
    <row r="84" spans="4:7" ht="12.75">
      <c r="D84" s="26"/>
      <c r="E84" s="26"/>
      <c r="F84" s="26"/>
      <c r="G84" s="26"/>
    </row>
    <row r="85" spans="2:9" ht="12.75">
      <c r="B85" s="22" t="s">
        <v>30</v>
      </c>
      <c r="C85" s="192" t="s">
        <v>120</v>
      </c>
      <c r="H85" s="4"/>
      <c r="I85" s="4"/>
    </row>
    <row r="86" spans="2:3" ht="12.75">
      <c r="B86" s="22" t="s">
        <v>29</v>
      </c>
      <c r="C86" s="192" t="s">
        <v>129</v>
      </c>
    </row>
    <row r="87" spans="2:3" ht="12.75">
      <c r="B87" s="22" t="s">
        <v>82</v>
      </c>
      <c r="C87" s="1" t="s">
        <v>84</v>
      </c>
    </row>
    <row r="88" spans="2:3" ht="12.75">
      <c r="B88" s="22" t="s">
        <v>83</v>
      </c>
      <c r="C88" s="1" t="s">
        <v>85</v>
      </c>
    </row>
    <row r="89" ht="12.75">
      <c r="B89" s="191" t="s">
        <v>123</v>
      </c>
    </row>
    <row r="90" ht="12.75">
      <c r="B90" s="191" t="s">
        <v>124</v>
      </c>
    </row>
    <row r="92" ht="12.75">
      <c r="B92" s="191"/>
    </row>
  </sheetData>
  <mergeCells count="73">
    <mergeCell ref="A6:I7"/>
    <mergeCell ref="A8:I8"/>
    <mergeCell ref="C9:F9"/>
    <mergeCell ref="B11:H11"/>
    <mergeCell ref="B12:H12"/>
    <mergeCell ref="B14:D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B22:E22"/>
    <mergeCell ref="F22:H22"/>
    <mergeCell ref="B23:E23"/>
    <mergeCell ref="B24:E24"/>
    <mergeCell ref="F24:H24"/>
    <mergeCell ref="B25:E25"/>
    <mergeCell ref="F25:H25"/>
    <mergeCell ref="F28:G28"/>
    <mergeCell ref="B27:E27"/>
    <mergeCell ref="A28:A29"/>
    <mergeCell ref="B28:D29"/>
    <mergeCell ref="E28:E29"/>
    <mergeCell ref="A34:D34"/>
    <mergeCell ref="B35:D35"/>
    <mergeCell ref="B36:D36"/>
    <mergeCell ref="B37:D37"/>
    <mergeCell ref="B38:D38"/>
    <mergeCell ref="B39:D39"/>
    <mergeCell ref="B40:D40"/>
    <mergeCell ref="B41:D41"/>
    <mergeCell ref="B42:D42"/>
    <mergeCell ref="A43:D43"/>
    <mergeCell ref="B44:D44"/>
    <mergeCell ref="B47:E47"/>
    <mergeCell ref="B48:E48"/>
    <mergeCell ref="B49:E49"/>
    <mergeCell ref="B50:E50"/>
    <mergeCell ref="B53:G53"/>
    <mergeCell ref="B54:C54"/>
    <mergeCell ref="F54:I54"/>
    <mergeCell ref="B55:C55"/>
    <mergeCell ref="F55:I57"/>
    <mergeCell ref="B56:C56"/>
    <mergeCell ref="B57:C57"/>
    <mergeCell ref="A60:A61"/>
    <mergeCell ref="B60:D61"/>
    <mergeCell ref="G61:H61"/>
    <mergeCell ref="B62:D62"/>
    <mergeCell ref="B63:D63"/>
    <mergeCell ref="B65:H65"/>
    <mergeCell ref="A66:C67"/>
    <mergeCell ref="D66:F66"/>
    <mergeCell ref="G66:I66"/>
    <mergeCell ref="B68:C68"/>
    <mergeCell ref="B70:C70"/>
    <mergeCell ref="B71:C71"/>
    <mergeCell ref="B72:C72"/>
    <mergeCell ref="B80:D80"/>
    <mergeCell ref="B81:D81"/>
    <mergeCell ref="B82:D82"/>
    <mergeCell ref="B73:C73"/>
    <mergeCell ref="B75:F75"/>
    <mergeCell ref="B76:D76"/>
    <mergeCell ref="B79:D79"/>
  </mergeCells>
  <hyperlinks>
    <hyperlink ref="C85" r:id="rId1" display="www.penolider.ru"/>
    <hyperlink ref="C86" r:id="rId2" display="penolider@v-s-d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10"/>
  </sheetPr>
  <dimension ref="A1:X93"/>
  <sheetViews>
    <sheetView zoomScaleSheetLayoutView="100" workbookViewId="0" topLeftCell="A25">
      <selection activeCell="M47" sqref="M47"/>
    </sheetView>
  </sheetViews>
  <sheetFormatPr defaultColWidth="9.00390625" defaultRowHeight="12.75"/>
  <cols>
    <col min="1" max="1" width="3.25390625" style="0" customWidth="1"/>
    <col min="3" max="3" width="14.875" style="0" customWidth="1"/>
    <col min="4" max="4" width="11.875" style="0" customWidth="1"/>
    <col min="5" max="5" width="11.75390625" style="0" customWidth="1"/>
    <col min="6" max="6" width="12.125" style="0" customWidth="1"/>
    <col min="7" max="7" width="10.25390625" style="0" customWidth="1"/>
    <col min="8" max="8" width="11.00390625" style="0" customWidth="1"/>
    <col min="9" max="9" width="15.25390625" style="0" customWidth="1"/>
  </cols>
  <sheetData>
    <row r="1" ht="23.25">
      <c r="D1" s="23" t="s">
        <v>79</v>
      </c>
    </row>
    <row r="2" spans="8:9" ht="19.5" customHeight="1">
      <c r="H2" s="11"/>
      <c r="I2" s="12"/>
    </row>
    <row r="3" spans="4:6" ht="12.75">
      <c r="D3" s="1" t="s">
        <v>131</v>
      </c>
      <c r="E3" s="1"/>
      <c r="F3" s="1"/>
    </row>
    <row r="4" spans="4:6" ht="13.5" customHeight="1">
      <c r="D4" s="1"/>
      <c r="E4" s="1"/>
      <c r="F4" s="1"/>
    </row>
    <row r="5" ht="12" customHeight="1">
      <c r="D5" s="1"/>
    </row>
    <row r="6" spans="1:9" ht="23.25" customHeight="1">
      <c r="A6" s="295" t="s">
        <v>64</v>
      </c>
      <c r="B6" s="295"/>
      <c r="C6" s="295"/>
      <c r="D6" s="295"/>
      <c r="E6" s="295"/>
      <c r="F6" s="295"/>
      <c r="G6" s="295"/>
      <c r="H6" s="295"/>
      <c r="I6" s="295"/>
    </row>
    <row r="7" spans="1:9" ht="12.75">
      <c r="A7" s="295"/>
      <c r="B7" s="295"/>
      <c r="C7" s="295"/>
      <c r="D7" s="295"/>
      <c r="E7" s="295"/>
      <c r="F7" s="295"/>
      <c r="G7" s="295"/>
      <c r="H7" s="295"/>
      <c r="I7" s="295"/>
    </row>
    <row r="8" spans="1:9" s="28" customFormat="1" ht="15" customHeight="1">
      <c r="A8" s="296" t="s">
        <v>125</v>
      </c>
      <c r="B8" s="296"/>
      <c r="C8" s="296"/>
      <c r="D8" s="296"/>
      <c r="E8" s="296"/>
      <c r="F8" s="296"/>
      <c r="G8" s="296"/>
      <c r="H8" s="296"/>
      <c r="I8" s="296"/>
    </row>
    <row r="9" spans="3:6" ht="15" customHeight="1">
      <c r="C9" s="297"/>
      <c r="D9" s="297"/>
      <c r="E9" s="297"/>
      <c r="F9" s="297"/>
    </row>
    <row r="10" spans="3:6" ht="15" customHeight="1">
      <c r="C10" s="10"/>
      <c r="D10" s="10"/>
      <c r="E10" s="10"/>
      <c r="F10" s="10"/>
    </row>
    <row r="11" spans="2:8" ht="22.5" customHeight="1">
      <c r="B11" s="298" t="s">
        <v>133</v>
      </c>
      <c r="C11" s="298"/>
      <c r="D11" s="298"/>
      <c r="E11" s="298"/>
      <c r="F11" s="298"/>
      <c r="G11" s="298"/>
      <c r="H11" s="298"/>
    </row>
    <row r="12" ht="8.25" customHeight="1"/>
    <row r="13" spans="2:8" s="4" customFormat="1" ht="13.5" thickBot="1">
      <c r="B13" s="221" t="s">
        <v>66</v>
      </c>
      <c r="C13" s="221"/>
      <c r="D13" s="221"/>
      <c r="H13" s="27"/>
    </row>
    <row r="14" spans="1:8" ht="12.75">
      <c r="A14" s="131">
        <v>1</v>
      </c>
      <c r="B14" s="294" t="s">
        <v>46</v>
      </c>
      <c r="C14" s="294"/>
      <c r="D14" s="294"/>
      <c r="E14" s="294"/>
      <c r="F14" s="206" t="s">
        <v>47</v>
      </c>
      <c r="G14" s="206"/>
      <c r="H14" s="207"/>
    </row>
    <row r="15" spans="1:18" ht="12.75" customHeight="1">
      <c r="A15" s="65">
        <v>2</v>
      </c>
      <c r="B15" s="282" t="s">
        <v>132</v>
      </c>
      <c r="C15" s="282"/>
      <c r="D15" s="282"/>
      <c r="E15" s="282"/>
      <c r="F15" s="283" t="s">
        <v>135</v>
      </c>
      <c r="G15" s="283"/>
      <c r="H15" s="284"/>
      <c r="K15" s="44"/>
      <c r="L15" s="44"/>
      <c r="M15" s="44"/>
      <c r="N15" s="44"/>
      <c r="O15" s="44"/>
      <c r="P15" s="44"/>
      <c r="Q15" s="44"/>
      <c r="R15" s="44"/>
    </row>
    <row r="16" spans="1:18" ht="13.5" customHeight="1">
      <c r="A16" s="65">
        <v>3</v>
      </c>
      <c r="B16" s="282" t="s">
        <v>80</v>
      </c>
      <c r="C16" s="282"/>
      <c r="D16" s="282"/>
      <c r="E16" s="282"/>
      <c r="F16" s="287">
        <v>1.2</v>
      </c>
      <c r="G16" s="287"/>
      <c r="H16" s="288"/>
      <c r="K16" s="44"/>
      <c r="L16" s="44"/>
      <c r="M16" s="44"/>
      <c r="N16" s="44"/>
      <c r="O16" s="44"/>
      <c r="P16" s="44"/>
      <c r="Q16" s="44"/>
      <c r="R16" s="44"/>
    </row>
    <row r="17" spans="1:18" ht="13.5" customHeight="1">
      <c r="A17" s="65">
        <v>4</v>
      </c>
      <c r="B17" s="290" t="s">
        <v>42</v>
      </c>
      <c r="C17" s="290"/>
      <c r="D17" s="290"/>
      <c r="E17" s="290"/>
      <c r="F17" s="291">
        <v>8</v>
      </c>
      <c r="G17" s="291"/>
      <c r="H17" s="292"/>
      <c r="K17" s="44"/>
      <c r="L17" s="44"/>
      <c r="M17" s="44"/>
      <c r="N17" s="44"/>
      <c r="O17" s="44"/>
      <c r="P17" s="44"/>
      <c r="Q17" s="44"/>
      <c r="R17" s="44"/>
    </row>
    <row r="18" spans="1:18" ht="13.5" customHeight="1">
      <c r="A18" s="65">
        <v>5</v>
      </c>
      <c r="B18" s="282" t="s">
        <v>3</v>
      </c>
      <c r="C18" s="282"/>
      <c r="D18" s="282"/>
      <c r="E18" s="282"/>
      <c r="F18" s="285">
        <v>22</v>
      </c>
      <c r="G18" s="285"/>
      <c r="H18" s="286"/>
      <c r="K18" s="44"/>
      <c r="L18" s="44"/>
      <c r="M18" s="44"/>
      <c r="N18" s="44"/>
      <c r="O18" s="44"/>
      <c r="P18" s="44"/>
      <c r="Q18" s="44"/>
      <c r="R18" s="44"/>
    </row>
    <row r="19" spans="1:18" ht="12.75">
      <c r="A19" s="65">
        <v>6</v>
      </c>
      <c r="B19" s="282" t="s">
        <v>4</v>
      </c>
      <c r="C19" s="282"/>
      <c r="D19" s="282"/>
      <c r="E19" s="282"/>
      <c r="F19" s="283">
        <v>8</v>
      </c>
      <c r="G19" s="283"/>
      <c r="H19" s="284"/>
      <c r="K19" s="44"/>
      <c r="L19" s="44"/>
      <c r="M19" s="44"/>
      <c r="N19" s="44"/>
      <c r="O19" s="44"/>
      <c r="P19" s="44"/>
      <c r="Q19" s="44"/>
      <c r="R19" s="44"/>
    </row>
    <row r="20" spans="1:18" ht="13.5" customHeight="1">
      <c r="A20" s="65">
        <v>8</v>
      </c>
      <c r="B20" s="282" t="s">
        <v>5</v>
      </c>
      <c r="C20" s="282"/>
      <c r="D20" s="282"/>
      <c r="E20" s="282"/>
      <c r="F20" s="25">
        <v>1</v>
      </c>
      <c r="G20" s="25">
        <v>2</v>
      </c>
      <c r="H20" s="30">
        <v>3</v>
      </c>
      <c r="K20" s="44"/>
      <c r="L20" s="44"/>
      <c r="M20" s="44"/>
      <c r="N20" s="44"/>
      <c r="O20" s="44"/>
      <c r="P20" s="44"/>
      <c r="Q20" s="44"/>
      <c r="R20" s="44"/>
    </row>
    <row r="21" spans="1:18" ht="14.25" customHeight="1">
      <c r="A21" s="65">
        <v>9</v>
      </c>
      <c r="B21" s="282" t="s">
        <v>44</v>
      </c>
      <c r="C21" s="282"/>
      <c r="D21" s="282"/>
      <c r="E21" s="282"/>
      <c r="F21" s="283">
        <f>F17*8</f>
        <v>64</v>
      </c>
      <c r="G21" s="283"/>
      <c r="H21" s="284"/>
      <c r="K21" s="39"/>
      <c r="L21" s="49"/>
      <c r="M21" s="49"/>
      <c r="N21" s="49"/>
      <c r="O21" s="41"/>
      <c r="P21" s="50"/>
      <c r="Q21" s="50"/>
      <c r="R21" s="50"/>
    </row>
    <row r="22" spans="1:18" ht="14.25" customHeight="1">
      <c r="A22" s="65">
        <v>10</v>
      </c>
      <c r="B22" s="310" t="s">
        <v>48</v>
      </c>
      <c r="C22" s="276"/>
      <c r="D22" s="276"/>
      <c r="E22" s="277"/>
      <c r="F22" s="24">
        <f>F21*F20</f>
        <v>64</v>
      </c>
      <c r="G22" s="24">
        <f>F21*G20</f>
        <v>128</v>
      </c>
      <c r="H22" s="29">
        <f>F21*H20</f>
        <v>192</v>
      </c>
      <c r="K22" s="39"/>
      <c r="L22" s="49"/>
      <c r="M22" s="49"/>
      <c r="N22" s="49"/>
      <c r="O22" s="41"/>
      <c r="P22" s="50"/>
      <c r="Q22" s="50"/>
      <c r="R22" s="50"/>
    </row>
    <row r="23" spans="1:18" ht="12.75" customHeight="1">
      <c r="A23" s="65">
        <v>11</v>
      </c>
      <c r="B23" s="310" t="s">
        <v>39</v>
      </c>
      <c r="C23" s="276"/>
      <c r="D23" s="276"/>
      <c r="E23" s="277"/>
      <c r="F23" s="31">
        <f aca="true" t="shared" si="0" ref="F23:H24">E83</f>
        <v>31.011975138169795</v>
      </c>
      <c r="G23" s="31">
        <f t="shared" si="0"/>
        <v>32.31176459616955</v>
      </c>
      <c r="H23" s="32">
        <f t="shared" si="0"/>
        <v>32.7520729441087</v>
      </c>
      <c r="K23" s="39"/>
      <c r="L23" s="49"/>
      <c r="M23" s="49"/>
      <c r="N23" s="49"/>
      <c r="O23" s="41"/>
      <c r="P23" s="49"/>
      <c r="Q23" s="49"/>
      <c r="R23" s="49"/>
    </row>
    <row r="24" spans="1:18" ht="21" customHeight="1">
      <c r="A24" s="65">
        <v>12</v>
      </c>
      <c r="B24" s="310" t="s">
        <v>28</v>
      </c>
      <c r="C24" s="276"/>
      <c r="D24" s="276"/>
      <c r="E24" s="277"/>
      <c r="F24" s="33">
        <f t="shared" si="0"/>
        <v>79.59801609669064</v>
      </c>
      <c r="G24" s="33">
        <f t="shared" si="0"/>
        <v>38.661994095245724</v>
      </c>
      <c r="H24" s="34">
        <f t="shared" si="0"/>
        <v>25.531526835747236</v>
      </c>
      <c r="K24" s="39"/>
      <c r="L24" s="49"/>
      <c r="M24" s="49"/>
      <c r="N24" s="49"/>
      <c r="O24" s="41"/>
      <c r="P24" s="49"/>
      <c r="Q24" s="49"/>
      <c r="R24" s="49"/>
    </row>
    <row r="25" spans="1:18" ht="13.5" customHeight="1" thickBot="1">
      <c r="A25" s="97">
        <v>13</v>
      </c>
      <c r="B25" s="279" t="s">
        <v>36</v>
      </c>
      <c r="C25" s="279"/>
      <c r="D25" s="279"/>
      <c r="E25" s="279"/>
      <c r="F25" s="280" t="s">
        <v>137</v>
      </c>
      <c r="G25" s="280"/>
      <c r="H25" s="281"/>
      <c r="K25" s="39"/>
      <c r="L25" s="49"/>
      <c r="M25" s="49"/>
      <c r="N25" s="49"/>
      <c r="O25" s="42"/>
      <c r="P25" s="49"/>
      <c r="Q25" s="49"/>
      <c r="R25" s="49"/>
    </row>
    <row r="26" spans="1:18" s="5" customFormat="1" ht="12.75" customHeight="1">
      <c r="A26" s="38"/>
      <c r="B26" s="260"/>
      <c r="C26" s="260"/>
      <c r="D26" s="260"/>
      <c r="E26" s="260"/>
      <c r="F26" s="261"/>
      <c r="G26" s="262"/>
      <c r="H26" s="262"/>
      <c r="I26"/>
      <c r="K26" s="39"/>
      <c r="L26" s="49"/>
      <c r="M26" s="49"/>
      <c r="N26" s="49"/>
      <c r="O26" s="41"/>
      <c r="P26" s="49"/>
      <c r="Q26" s="49"/>
      <c r="R26" s="49"/>
    </row>
    <row r="27" spans="1:18" s="3" customFormat="1" ht="9.75" customHeight="1">
      <c r="A27"/>
      <c r="B27"/>
      <c r="C27"/>
      <c r="D27"/>
      <c r="E27"/>
      <c r="F27"/>
      <c r="G27"/>
      <c r="H27"/>
      <c r="I27"/>
      <c r="K27" s="39"/>
      <c r="L27" s="49"/>
      <c r="M27" s="49"/>
      <c r="N27" s="49"/>
      <c r="O27" s="41"/>
      <c r="P27" s="49"/>
      <c r="Q27" s="49"/>
      <c r="R27" s="49"/>
    </row>
    <row r="28" spans="1:18" s="3" customFormat="1" ht="14.25" customHeight="1" thickBot="1">
      <c r="A28" s="4"/>
      <c r="B28" s="241" t="s">
        <v>67</v>
      </c>
      <c r="C28" s="241"/>
      <c r="D28" s="241"/>
      <c r="E28" s="241"/>
      <c r="F28" s="4"/>
      <c r="G28" s="4"/>
      <c r="H28" s="4"/>
      <c r="I28" s="27"/>
      <c r="K28" s="39"/>
      <c r="L28" s="49"/>
      <c r="M28" s="49"/>
      <c r="N28" s="49"/>
      <c r="O28" s="41"/>
      <c r="P28" s="68"/>
      <c r="Q28" s="69"/>
      <c r="R28" s="69"/>
    </row>
    <row r="29" spans="1:24" s="3" customFormat="1" ht="24.75" customHeight="1">
      <c r="A29" s="263" t="s">
        <v>6</v>
      </c>
      <c r="B29" s="265" t="s">
        <v>0</v>
      </c>
      <c r="C29" s="266"/>
      <c r="D29" s="267"/>
      <c r="E29" s="271" t="s">
        <v>104</v>
      </c>
      <c r="F29" s="273" t="s">
        <v>49</v>
      </c>
      <c r="G29" s="274"/>
      <c r="H29" s="274"/>
      <c r="I29" s="275"/>
      <c r="K29" s="43"/>
      <c r="L29" s="48"/>
      <c r="M29" s="48"/>
      <c r="N29" s="48"/>
      <c r="O29" s="43"/>
      <c r="P29" s="43"/>
      <c r="Q29" s="43"/>
      <c r="R29" s="43"/>
      <c r="S29" s="45"/>
      <c r="T29" s="38"/>
      <c r="U29" s="38"/>
      <c r="V29" s="38"/>
      <c r="W29" s="38"/>
      <c r="X29" s="38"/>
    </row>
    <row r="30" spans="1:24" ht="14.25" customHeight="1" thickBot="1">
      <c r="A30" s="264"/>
      <c r="B30" s="268"/>
      <c r="C30" s="269"/>
      <c r="D30" s="270"/>
      <c r="E30" s="272"/>
      <c r="F30" s="61" t="s">
        <v>50</v>
      </c>
      <c r="G30" s="62" t="s">
        <v>51</v>
      </c>
      <c r="H30" s="61" t="s">
        <v>52</v>
      </c>
      <c r="I30" s="63" t="s">
        <v>53</v>
      </c>
      <c r="K30" s="39"/>
      <c r="L30" s="49"/>
      <c r="M30" s="49"/>
      <c r="N30" s="49"/>
      <c r="O30" s="42"/>
      <c r="P30" s="46"/>
      <c r="Q30" s="40"/>
      <c r="R30" s="46"/>
      <c r="S30" s="48"/>
      <c r="T30" s="44"/>
      <c r="U30" s="44"/>
      <c r="V30" s="44"/>
      <c r="W30" s="44"/>
      <c r="X30" s="44"/>
    </row>
    <row r="31" spans="1:24" s="4" customFormat="1" ht="13.5" thickBot="1">
      <c r="A31" s="56"/>
      <c r="B31" s="57" t="s">
        <v>127</v>
      </c>
      <c r="C31" s="58"/>
      <c r="D31" s="59"/>
      <c r="E31" s="145">
        <f>1683000/1.18</f>
        <v>1426271.186440678</v>
      </c>
      <c r="F31" s="146">
        <v>5</v>
      </c>
      <c r="G31" s="147">
        <f>E31*0.05</f>
        <v>71313.5593220339</v>
      </c>
      <c r="H31" s="147">
        <f>E31*2*0.05</f>
        <v>142627.1186440678</v>
      </c>
      <c r="I31" s="148">
        <f>E31*3*0.05</f>
        <v>213940.6779661017</v>
      </c>
      <c r="K31" s="43"/>
      <c r="L31" s="48"/>
      <c r="M31" s="48"/>
      <c r="N31" s="48"/>
      <c r="O31" s="43"/>
      <c r="P31" s="43"/>
      <c r="Q31" s="43"/>
      <c r="R31" s="43"/>
      <c r="S31" s="43"/>
      <c r="T31" s="14"/>
      <c r="U31" s="14"/>
      <c r="V31" s="14"/>
      <c r="W31" s="14"/>
      <c r="X31" s="14"/>
    </row>
    <row r="32" spans="1:24" s="9" customFormat="1" ht="31.5" customHeight="1">
      <c r="A32" s="35" t="s">
        <v>100</v>
      </c>
      <c r="B32"/>
      <c r="C32"/>
      <c r="D32"/>
      <c r="E32"/>
      <c r="F32"/>
      <c r="G32"/>
      <c r="H32"/>
      <c r="I32"/>
      <c r="K32" s="39"/>
      <c r="L32" s="49"/>
      <c r="M32" s="49"/>
      <c r="N32" s="49"/>
      <c r="O32" s="42"/>
      <c r="P32" s="42"/>
      <c r="Q32" s="46"/>
      <c r="R32" s="40"/>
      <c r="S32" s="46"/>
      <c r="T32" s="53"/>
      <c r="U32" s="53"/>
      <c r="V32" s="53"/>
      <c r="W32" s="53"/>
      <c r="X32" s="53"/>
    </row>
    <row r="33" spans="1:24" ht="15.75" customHeight="1" thickBot="1">
      <c r="A33" s="4"/>
      <c r="B33" s="129" t="s">
        <v>68</v>
      </c>
      <c r="C33" s="129"/>
      <c r="D33" s="129"/>
      <c r="E33" s="129"/>
      <c r="F33" s="129"/>
      <c r="G33" s="129"/>
      <c r="H33" s="4"/>
      <c r="I33" s="27"/>
      <c r="K33" s="39"/>
      <c r="L33" s="49"/>
      <c r="M33" s="49"/>
      <c r="N33" s="49"/>
      <c r="O33" s="41"/>
      <c r="P33" s="41"/>
      <c r="Q33" s="46"/>
      <c r="R33" s="40"/>
      <c r="S33" s="46"/>
      <c r="T33" s="44"/>
      <c r="U33" s="44"/>
      <c r="V33" s="44"/>
      <c r="W33" s="44"/>
      <c r="X33" s="44"/>
    </row>
    <row r="34" spans="1:24" ht="24.75" customHeight="1" thickBot="1">
      <c r="A34" s="257" t="s">
        <v>12</v>
      </c>
      <c r="B34" s="258"/>
      <c r="C34" s="258"/>
      <c r="D34" s="259"/>
      <c r="E34" s="70" t="s">
        <v>31</v>
      </c>
      <c r="F34" s="70" t="s">
        <v>33</v>
      </c>
      <c r="G34" s="70" t="s">
        <v>13</v>
      </c>
      <c r="H34" s="70" t="s">
        <v>40</v>
      </c>
      <c r="I34" s="71" t="s">
        <v>55</v>
      </c>
      <c r="K34" s="39"/>
      <c r="L34" s="49"/>
      <c r="M34" s="49"/>
      <c r="N34" s="49"/>
      <c r="O34" s="41"/>
      <c r="P34" s="41"/>
      <c r="Q34" s="46"/>
      <c r="R34" s="40"/>
      <c r="S34" s="46"/>
      <c r="T34" s="44"/>
      <c r="U34" s="44"/>
      <c r="V34" s="44"/>
      <c r="W34" s="44"/>
      <c r="X34" s="44"/>
    </row>
    <row r="35" spans="1:24" ht="12.75">
      <c r="A35" s="72">
        <v>1</v>
      </c>
      <c r="B35" s="224" t="s">
        <v>8</v>
      </c>
      <c r="C35" s="224"/>
      <c r="D35" s="224"/>
      <c r="E35" s="83">
        <v>4</v>
      </c>
      <c r="F35" s="84">
        <v>1</v>
      </c>
      <c r="G35" s="83">
        <f>F35*E35</f>
        <v>4</v>
      </c>
      <c r="H35" s="83">
        <v>4</v>
      </c>
      <c r="I35" s="85">
        <f>H35*G35</f>
        <v>16</v>
      </c>
      <c r="K35" s="39"/>
      <c r="L35" s="49"/>
      <c r="M35" s="49"/>
      <c r="N35" s="49"/>
      <c r="O35" s="41"/>
      <c r="P35" s="41"/>
      <c r="Q35" s="46"/>
      <c r="R35" s="40"/>
      <c r="S35" s="46"/>
      <c r="T35" s="44"/>
      <c r="U35" s="44"/>
      <c r="V35" s="44"/>
      <c r="W35" s="44"/>
      <c r="X35" s="44"/>
    </row>
    <row r="36" spans="1:24" ht="12.75">
      <c r="A36" s="73">
        <v>2</v>
      </c>
      <c r="B36" s="211" t="s">
        <v>41</v>
      </c>
      <c r="C36" s="211"/>
      <c r="D36" s="211"/>
      <c r="E36" s="86">
        <v>7.5</v>
      </c>
      <c r="F36" s="25">
        <v>1</v>
      </c>
      <c r="G36" s="86">
        <f>F36*E36</f>
        <v>7.5</v>
      </c>
      <c r="H36" s="86">
        <v>4</v>
      </c>
      <c r="I36" s="87">
        <f>H36*G36</f>
        <v>30</v>
      </c>
      <c r="K36" s="39"/>
      <c r="L36" s="49"/>
      <c r="M36" s="49"/>
      <c r="N36" s="49"/>
      <c r="O36" s="41"/>
      <c r="P36" s="41"/>
      <c r="Q36" s="46"/>
      <c r="R36" s="40"/>
      <c r="S36" s="46"/>
      <c r="T36" s="44"/>
      <c r="U36" s="44"/>
      <c r="V36" s="44"/>
      <c r="W36" s="44"/>
      <c r="X36" s="44"/>
    </row>
    <row r="37" spans="1:24" ht="12.75">
      <c r="A37" s="73">
        <v>3</v>
      </c>
      <c r="B37" s="54" t="s">
        <v>101</v>
      </c>
      <c r="C37" s="75"/>
      <c r="D37" s="76"/>
      <c r="E37" s="86">
        <v>150</v>
      </c>
      <c r="F37" s="25">
        <v>1</v>
      </c>
      <c r="G37" s="86">
        <f>F37*E37</f>
        <v>150</v>
      </c>
      <c r="H37" s="86">
        <v>8</v>
      </c>
      <c r="I37" s="87">
        <f>H37*G37</f>
        <v>1200</v>
      </c>
      <c r="K37" s="39"/>
      <c r="L37" s="49"/>
      <c r="M37" s="49"/>
      <c r="N37" s="49"/>
      <c r="O37" s="41"/>
      <c r="P37" s="41"/>
      <c r="Q37" s="46"/>
      <c r="R37" s="40"/>
      <c r="S37" s="46"/>
      <c r="T37" s="44"/>
      <c r="U37" s="44"/>
      <c r="V37" s="44"/>
      <c r="W37" s="44"/>
      <c r="X37" s="44"/>
    </row>
    <row r="38" spans="1:24" ht="12.75">
      <c r="A38" s="73">
        <v>4</v>
      </c>
      <c r="B38" s="249" t="s">
        <v>56</v>
      </c>
      <c r="C38" s="250"/>
      <c r="D38" s="251"/>
      <c r="E38" s="86">
        <v>4</v>
      </c>
      <c r="F38" s="25">
        <v>1</v>
      </c>
      <c r="G38" s="86">
        <v>1.5</v>
      </c>
      <c r="H38" s="86">
        <v>0.5</v>
      </c>
      <c r="I38" s="87">
        <f>G38*H38</f>
        <v>0.75</v>
      </c>
      <c r="K38" s="39"/>
      <c r="L38" s="49"/>
      <c r="M38" s="49"/>
      <c r="N38" s="49"/>
      <c r="O38" s="41"/>
      <c r="P38" s="41"/>
      <c r="Q38" s="46"/>
      <c r="R38" s="46"/>
      <c r="S38" s="46"/>
      <c r="T38" s="44"/>
      <c r="U38" s="44"/>
      <c r="V38" s="44"/>
      <c r="W38" s="44"/>
      <c r="X38" s="44"/>
    </row>
    <row r="39" spans="1:24" ht="12.75">
      <c r="A39" s="73">
        <v>5</v>
      </c>
      <c r="B39" s="249" t="s">
        <v>32</v>
      </c>
      <c r="C39" s="250"/>
      <c r="D39" s="251"/>
      <c r="E39" s="86">
        <v>2.2</v>
      </c>
      <c r="F39" s="25">
        <v>1</v>
      </c>
      <c r="G39" s="86">
        <f>F39*E39</f>
        <v>2.2</v>
      </c>
      <c r="H39" s="86">
        <v>1.5</v>
      </c>
      <c r="I39" s="87">
        <f>H39*G39</f>
        <v>3.3000000000000003</v>
      </c>
      <c r="K39" s="39"/>
      <c r="L39" s="49"/>
      <c r="M39" s="49"/>
      <c r="N39" s="49"/>
      <c r="O39" s="41"/>
      <c r="P39" s="41"/>
      <c r="Q39" s="46"/>
      <c r="R39" s="46"/>
      <c r="S39" s="46"/>
      <c r="T39" s="44"/>
      <c r="U39" s="44"/>
      <c r="V39" s="44"/>
      <c r="W39" s="44"/>
      <c r="X39" s="44"/>
    </row>
    <row r="40" spans="1:24" s="4" customFormat="1" ht="12.75">
      <c r="A40" s="73">
        <v>6</v>
      </c>
      <c r="B40" s="211" t="s">
        <v>37</v>
      </c>
      <c r="C40" s="211"/>
      <c r="D40" s="211"/>
      <c r="E40" s="86">
        <v>2.7</v>
      </c>
      <c r="F40" s="25">
        <v>1</v>
      </c>
      <c r="G40" s="86">
        <f>F40*E40</f>
        <v>2.7</v>
      </c>
      <c r="H40" s="86">
        <v>4</v>
      </c>
      <c r="I40" s="87">
        <f>H40*G40</f>
        <v>10.8</v>
      </c>
      <c r="K40" s="39"/>
      <c r="L40" s="49"/>
      <c r="M40" s="49"/>
      <c r="N40" s="49"/>
      <c r="O40" s="41"/>
      <c r="P40" s="41"/>
      <c r="Q40" s="46"/>
      <c r="R40" s="46"/>
      <c r="S40" s="46"/>
      <c r="T40" s="14"/>
      <c r="U40" s="14"/>
      <c r="V40" s="14"/>
      <c r="W40" s="14"/>
      <c r="X40" s="14"/>
    </row>
    <row r="41" spans="1:24" ht="12.75">
      <c r="A41" s="73">
        <v>7</v>
      </c>
      <c r="B41" s="211" t="s">
        <v>43</v>
      </c>
      <c r="C41" s="211"/>
      <c r="D41" s="211"/>
      <c r="E41" s="86">
        <v>1.1</v>
      </c>
      <c r="F41" s="25">
        <v>3</v>
      </c>
      <c r="G41" s="86">
        <f>F41*E41</f>
        <v>3.3000000000000003</v>
      </c>
      <c r="H41" s="86">
        <v>2</v>
      </c>
      <c r="I41" s="87">
        <f>H41*G41</f>
        <v>6.6000000000000005</v>
      </c>
      <c r="K41" s="47"/>
      <c r="L41" s="51"/>
      <c r="M41" s="51"/>
      <c r="N41" s="51"/>
      <c r="O41" s="38"/>
      <c r="P41" s="38"/>
      <c r="Q41" s="38"/>
      <c r="R41" s="38"/>
      <c r="S41" s="38"/>
      <c r="T41" s="44"/>
      <c r="U41" s="44"/>
      <c r="V41" s="44"/>
      <c r="W41" s="44"/>
      <c r="X41" s="44"/>
    </row>
    <row r="42" spans="1:24" ht="12.75">
      <c r="A42" s="73">
        <v>8</v>
      </c>
      <c r="B42" s="249" t="s">
        <v>14</v>
      </c>
      <c r="C42" s="250"/>
      <c r="D42" s="251"/>
      <c r="E42" s="86">
        <v>0.1</v>
      </c>
      <c r="F42" s="25">
        <v>10</v>
      </c>
      <c r="G42" s="86">
        <f>F42*E42</f>
        <v>1</v>
      </c>
      <c r="H42" s="86">
        <v>8</v>
      </c>
      <c r="I42" s="87">
        <f>H42*G42</f>
        <v>8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4" customFormat="1" ht="13.5" thickBot="1">
      <c r="A43" s="77"/>
      <c r="B43" s="238" t="s">
        <v>15</v>
      </c>
      <c r="C43" s="239"/>
      <c r="D43" s="239"/>
      <c r="E43" s="79"/>
      <c r="F43" s="78"/>
      <c r="G43" s="80"/>
      <c r="H43" s="81"/>
      <c r="I43" s="82">
        <f>SUM(I35:I42)</f>
        <v>1275.4499999999998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4" customFormat="1" ht="14.25">
      <c r="A44"/>
      <c r="B44" t="s">
        <v>45</v>
      </c>
      <c r="C44"/>
      <c r="D44"/>
      <c r="E44">
        <v>45</v>
      </c>
      <c r="F44" t="s">
        <v>22</v>
      </c>
      <c r="G44"/>
      <c r="H44"/>
      <c r="I4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1:24" ht="9.75" customHeight="1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9" ht="13.5" thickBot="1">
      <c r="A46" s="4"/>
      <c r="B46" s="245" t="s">
        <v>72</v>
      </c>
      <c r="C46" s="245"/>
      <c r="D46" s="245"/>
      <c r="E46" s="245"/>
      <c r="F46" s="4"/>
      <c r="G46" s="4"/>
      <c r="H46" s="27"/>
      <c r="I46" s="4"/>
    </row>
    <row r="47" spans="1:9" ht="12.75">
      <c r="A47" s="88" t="s">
        <v>6</v>
      </c>
      <c r="B47" s="246" t="s">
        <v>17</v>
      </c>
      <c r="C47" s="247"/>
      <c r="D47" s="247"/>
      <c r="E47" s="248"/>
      <c r="F47" s="66" t="s">
        <v>18</v>
      </c>
      <c r="G47" s="66" t="s">
        <v>19</v>
      </c>
      <c r="H47" s="67" t="s">
        <v>7</v>
      </c>
      <c r="I47" s="4"/>
    </row>
    <row r="48" spans="1:9" s="4" customFormat="1" ht="12.75">
      <c r="A48" s="73">
        <v>1</v>
      </c>
      <c r="B48" s="249" t="s">
        <v>75</v>
      </c>
      <c r="C48" s="250"/>
      <c r="D48" s="250"/>
      <c r="E48" s="251"/>
      <c r="F48" s="25">
        <v>1</v>
      </c>
      <c r="G48" s="8">
        <v>13000</v>
      </c>
      <c r="H48" s="93">
        <v>13000</v>
      </c>
      <c r="I48"/>
    </row>
    <row r="49" spans="1:9" s="4" customFormat="1" ht="12.75">
      <c r="A49" s="73">
        <v>2</v>
      </c>
      <c r="B49" s="249" t="s">
        <v>76</v>
      </c>
      <c r="C49" s="250"/>
      <c r="D49" s="250"/>
      <c r="E49" s="251"/>
      <c r="F49" s="25">
        <v>1</v>
      </c>
      <c r="G49" s="8">
        <v>15000</v>
      </c>
      <c r="H49" s="93">
        <v>15000</v>
      </c>
      <c r="I49"/>
    </row>
    <row r="50" spans="1:8" s="4" customFormat="1" ht="12.75" customHeight="1" thickBot="1">
      <c r="A50" s="77"/>
      <c r="B50" s="238" t="s">
        <v>20</v>
      </c>
      <c r="C50" s="239"/>
      <c r="D50" s="239"/>
      <c r="E50" s="240"/>
      <c r="F50" s="62">
        <f>SUM(F48:F49)</f>
        <v>2</v>
      </c>
      <c r="G50" s="91"/>
      <c r="H50" s="92">
        <f>SUM(H48:H49)</f>
        <v>28000</v>
      </c>
    </row>
    <row r="51" spans="1:9" ht="10.5" customHeight="1">
      <c r="A51" s="14"/>
      <c r="B51" s="15"/>
      <c r="C51" s="15"/>
      <c r="D51" s="15"/>
      <c r="E51" s="15"/>
      <c r="F51" s="14"/>
      <c r="G51" s="14"/>
      <c r="H51" s="14"/>
      <c r="I51" s="4"/>
    </row>
    <row r="52" spans="1:9" s="4" customFormat="1" ht="13.5" customHeight="1">
      <c r="A52" s="14"/>
      <c r="B52" s="15"/>
      <c r="C52" s="15"/>
      <c r="D52" s="15"/>
      <c r="E52" s="15"/>
      <c r="F52" s="14"/>
      <c r="G52" s="16"/>
      <c r="H52" s="17"/>
      <c r="I52" s="15"/>
    </row>
    <row r="53" spans="2:9" s="4" customFormat="1" ht="13.5" thickBot="1">
      <c r="B53" s="241" t="s">
        <v>69</v>
      </c>
      <c r="C53" s="241"/>
      <c r="D53" s="241"/>
      <c r="E53" s="241"/>
      <c r="F53" s="241"/>
      <c r="G53" s="241"/>
      <c r="I53" s="27"/>
    </row>
    <row r="54" spans="1:9" ht="25.5">
      <c r="A54" s="64" t="s">
        <v>6</v>
      </c>
      <c r="B54" s="242" t="s">
        <v>0</v>
      </c>
      <c r="C54" s="243"/>
      <c r="D54" s="96" t="s">
        <v>2</v>
      </c>
      <c r="E54" s="60" t="s">
        <v>88</v>
      </c>
      <c r="F54" s="203" t="s">
        <v>1</v>
      </c>
      <c r="G54" s="203"/>
      <c r="H54" s="203"/>
      <c r="I54" s="244"/>
    </row>
    <row r="55" spans="1:9" ht="12.75">
      <c r="A55" s="65">
        <v>1</v>
      </c>
      <c r="B55" s="234" t="s">
        <v>86</v>
      </c>
      <c r="C55" s="235"/>
      <c r="D55" s="55" t="s">
        <v>10</v>
      </c>
      <c r="E55" s="7">
        <f>63000/1.18</f>
        <v>53389.83050847458</v>
      </c>
      <c r="F55" s="236" t="s">
        <v>87</v>
      </c>
      <c r="G55" s="236"/>
      <c r="H55" s="236"/>
      <c r="I55" s="237"/>
    </row>
    <row r="56" spans="1:9" ht="12.75">
      <c r="A56" s="65">
        <v>2</v>
      </c>
      <c r="B56" s="227" t="s">
        <v>11</v>
      </c>
      <c r="C56" s="227"/>
      <c r="D56" s="55" t="s">
        <v>35</v>
      </c>
      <c r="E56" s="37">
        <f>3/1.18</f>
        <v>2.5423728813559325</v>
      </c>
      <c r="F56" s="228"/>
      <c r="G56" s="228"/>
      <c r="H56" s="228"/>
      <c r="I56" s="229"/>
    </row>
    <row r="57" spans="1:9" ht="15" thickBot="1">
      <c r="A57" s="97">
        <v>3</v>
      </c>
      <c r="B57" s="230" t="s">
        <v>57</v>
      </c>
      <c r="C57" s="231"/>
      <c r="D57" s="98" t="s">
        <v>58</v>
      </c>
      <c r="E57" s="6">
        <f>150/1.18</f>
        <v>127.11864406779662</v>
      </c>
      <c r="F57" s="232" t="s">
        <v>81</v>
      </c>
      <c r="G57" s="232"/>
      <c r="H57" s="232"/>
      <c r="I57" s="233"/>
    </row>
    <row r="59" spans="2:8" s="4" customFormat="1" ht="15" thickBot="1">
      <c r="B59" s="130" t="s">
        <v>70</v>
      </c>
      <c r="C59" s="130"/>
      <c r="D59" s="130"/>
      <c r="E59" s="130"/>
      <c r="F59" s="130"/>
      <c r="H59" s="27"/>
    </row>
    <row r="60" spans="1:9" s="18" customFormat="1" ht="12.75">
      <c r="A60" s="202" t="s">
        <v>6</v>
      </c>
      <c r="B60" s="203" t="s">
        <v>0</v>
      </c>
      <c r="C60" s="203"/>
      <c r="D60" s="203"/>
      <c r="E60" s="89" t="s">
        <v>16</v>
      </c>
      <c r="F60" s="90"/>
      <c r="G60" s="90"/>
      <c r="H60" s="101"/>
      <c r="I60" s="4"/>
    </row>
    <row r="61" spans="1:9" s="4" customFormat="1" ht="13.5" thickBot="1">
      <c r="A61" s="208"/>
      <c r="B61" s="209"/>
      <c r="C61" s="209"/>
      <c r="D61" s="209"/>
      <c r="E61" s="102" t="s">
        <v>22</v>
      </c>
      <c r="F61" s="102" t="s">
        <v>59</v>
      </c>
      <c r="G61" s="197" t="s">
        <v>60</v>
      </c>
      <c r="H61" s="198"/>
      <c r="I61" s="10"/>
    </row>
    <row r="62" spans="1:15" s="4" customFormat="1" ht="12.75">
      <c r="A62" s="99">
        <v>1</v>
      </c>
      <c r="B62" s="199" t="s">
        <v>77</v>
      </c>
      <c r="C62" s="199"/>
      <c r="D62" s="200"/>
      <c r="E62" s="106">
        <v>15</v>
      </c>
      <c r="F62" s="107">
        <f>E55/1000</f>
        <v>53.38983050847458</v>
      </c>
      <c r="G62" s="108"/>
      <c r="H62" s="109">
        <f>E62*F62</f>
        <v>800.8474576271187</v>
      </c>
      <c r="I62"/>
      <c r="M62" s="18"/>
      <c r="N62" s="18"/>
      <c r="O62" s="18"/>
    </row>
    <row r="63" spans="1:15" ht="15" thickBot="1">
      <c r="A63" s="100"/>
      <c r="B63" s="210" t="s">
        <v>61</v>
      </c>
      <c r="C63" s="210"/>
      <c r="D63" s="201"/>
      <c r="E63" s="103">
        <f>SUM(E62:E62)</f>
        <v>15</v>
      </c>
      <c r="F63" s="91"/>
      <c r="G63" s="104"/>
      <c r="H63" s="105">
        <f>SUM(H62:H62)</f>
        <v>800.8474576271187</v>
      </c>
      <c r="I63" s="4"/>
      <c r="M63" s="26"/>
      <c r="N63" s="26"/>
      <c r="O63" s="26"/>
    </row>
    <row r="64" spans="1:15" ht="12.75">
      <c r="A64" s="14"/>
      <c r="B64" s="19"/>
      <c r="C64" s="19"/>
      <c r="D64" s="19"/>
      <c r="E64" s="14"/>
      <c r="F64" s="14"/>
      <c r="G64" s="20"/>
      <c r="H64" s="20"/>
      <c r="I64" s="18"/>
      <c r="M64" s="26"/>
      <c r="N64" s="26"/>
      <c r="O64" s="26"/>
    </row>
    <row r="65" spans="1:15" ht="13.5" thickBot="1">
      <c r="A65" s="4"/>
      <c r="B65" s="221" t="s">
        <v>71</v>
      </c>
      <c r="C65" s="221"/>
      <c r="D65" s="221"/>
      <c r="E65" s="221"/>
      <c r="F65" s="221"/>
      <c r="G65" s="221"/>
      <c r="H65" s="221"/>
      <c r="I65" s="27"/>
      <c r="M65" s="26"/>
      <c r="N65" s="26"/>
      <c r="O65" s="26"/>
    </row>
    <row r="66" spans="1:15" ht="14.25">
      <c r="A66" s="202" t="s">
        <v>23</v>
      </c>
      <c r="B66" s="203"/>
      <c r="C66" s="203"/>
      <c r="D66" s="206" t="s">
        <v>24</v>
      </c>
      <c r="E66" s="206"/>
      <c r="F66" s="206"/>
      <c r="G66" s="206" t="s">
        <v>62</v>
      </c>
      <c r="H66" s="206"/>
      <c r="I66" s="207"/>
      <c r="M66" s="26"/>
      <c r="N66" s="26"/>
      <c r="O66" s="26"/>
    </row>
    <row r="67" spans="1:15" ht="13.5" thickBot="1">
      <c r="A67" s="204"/>
      <c r="B67" s="205"/>
      <c r="C67" s="205"/>
      <c r="D67" s="62" t="s">
        <v>51</v>
      </c>
      <c r="E67" s="62" t="s">
        <v>52</v>
      </c>
      <c r="F67" s="94" t="s">
        <v>53</v>
      </c>
      <c r="G67" s="62" t="s">
        <v>51</v>
      </c>
      <c r="H67" s="62" t="s">
        <v>52</v>
      </c>
      <c r="I67" s="110" t="s">
        <v>53</v>
      </c>
      <c r="M67" s="26"/>
      <c r="N67" s="26"/>
      <c r="O67" s="26"/>
    </row>
    <row r="68" spans="1:15" s="4" customFormat="1" ht="12.75">
      <c r="A68" s="72">
        <v>1</v>
      </c>
      <c r="B68" s="224" t="s">
        <v>11</v>
      </c>
      <c r="C68" s="224"/>
      <c r="D68" s="113">
        <f>I43*E56*22</f>
        <v>71338.72881355933</v>
      </c>
      <c r="E68" s="113">
        <f>I43*E56*F18*G20</f>
        <v>142677.45762711865</v>
      </c>
      <c r="F68" s="83">
        <f>I43*E56*F18*H20</f>
        <v>214016.18644067796</v>
      </c>
      <c r="G68" s="114">
        <f>D68/F18/F22</f>
        <v>50.66671080508475</v>
      </c>
      <c r="H68" s="115">
        <f>E68/F18/G22</f>
        <v>50.66671080508475</v>
      </c>
      <c r="I68" s="116">
        <f>F68/F18/H22</f>
        <v>50.66671080508474</v>
      </c>
      <c r="M68" s="18"/>
      <c r="N68" s="18"/>
      <c r="O68" s="18"/>
    </row>
    <row r="69" spans="1:15" ht="12.75">
      <c r="A69" s="73">
        <v>2</v>
      </c>
      <c r="B69" s="211" t="s">
        <v>25</v>
      </c>
      <c r="C69" s="211"/>
      <c r="D69" s="117">
        <f>H50*F20</f>
        <v>28000</v>
      </c>
      <c r="E69" s="117">
        <f>H50*G20</f>
        <v>56000</v>
      </c>
      <c r="F69" s="86">
        <f>H50*H20</f>
        <v>84000</v>
      </c>
      <c r="G69" s="118">
        <f>D69/F18/F21</f>
        <v>19.886363636363637</v>
      </c>
      <c r="H69" s="36">
        <f>E69/F18/F21/G20</f>
        <v>19.886363636363637</v>
      </c>
      <c r="I69" s="119">
        <f>F69/F18/F21/H20</f>
        <v>19.886363636363637</v>
      </c>
      <c r="M69" s="26"/>
      <c r="N69" s="26"/>
      <c r="O69" s="26"/>
    </row>
    <row r="70" spans="1:15" ht="12.75">
      <c r="A70" s="128">
        <v>3</v>
      </c>
      <c r="B70" s="225" t="s">
        <v>73</v>
      </c>
      <c r="C70" s="226"/>
      <c r="D70" s="127">
        <f aca="true" t="shared" si="1" ref="D70:I70">D69*0.277</f>
        <v>7756.000000000001</v>
      </c>
      <c r="E70" s="127">
        <f t="shared" si="1"/>
        <v>15512.000000000002</v>
      </c>
      <c r="F70" s="127">
        <f t="shared" si="1"/>
        <v>23268.000000000004</v>
      </c>
      <c r="G70" s="127">
        <f t="shared" si="1"/>
        <v>5.5085227272727275</v>
      </c>
      <c r="H70" s="127">
        <f t="shared" si="1"/>
        <v>5.5085227272727275</v>
      </c>
      <c r="I70" s="127">
        <f t="shared" si="1"/>
        <v>5.5085227272727275</v>
      </c>
      <c r="J70" s="133"/>
      <c r="M70" s="26"/>
      <c r="N70" s="26"/>
      <c r="O70" s="26"/>
    </row>
    <row r="71" spans="1:15" s="4" customFormat="1" ht="12.75">
      <c r="A71" s="73">
        <v>4</v>
      </c>
      <c r="B71" s="211" t="s">
        <v>21</v>
      </c>
      <c r="C71" s="211"/>
      <c r="D71" s="117">
        <f>E57*240</f>
        <v>30508.47457627119</v>
      </c>
      <c r="E71" s="117">
        <f>D71</f>
        <v>30508.47457627119</v>
      </c>
      <c r="F71" s="117">
        <f>D71</f>
        <v>30508.47457627119</v>
      </c>
      <c r="G71" s="118">
        <f>D71/F18/F22</f>
        <v>21.667950693374426</v>
      </c>
      <c r="H71" s="36">
        <f>E71/F18/G22</f>
        <v>10.833975346687213</v>
      </c>
      <c r="I71" s="119">
        <f>F71/F18/H22</f>
        <v>7.222650231124809</v>
      </c>
      <c r="M71" s="18"/>
      <c r="N71" s="18"/>
      <c r="O71" s="18"/>
    </row>
    <row r="72" spans="1:15" ht="12.75">
      <c r="A72" s="73">
        <v>5</v>
      </c>
      <c r="B72" s="211" t="s">
        <v>26</v>
      </c>
      <c r="C72" s="211"/>
      <c r="D72" s="117">
        <f>G31/12</f>
        <v>5942.796610169492</v>
      </c>
      <c r="E72" s="117">
        <f>H31/12</f>
        <v>11885.593220338984</v>
      </c>
      <c r="F72" s="117">
        <f>I31/12</f>
        <v>17828.389830508477</v>
      </c>
      <c r="G72" s="118">
        <f>D72/F18/F21</f>
        <v>4.22073622881356</v>
      </c>
      <c r="H72" s="36">
        <f>E72/F18/F21/G20</f>
        <v>4.22073622881356</v>
      </c>
      <c r="I72" s="119">
        <f>F72/F18/F21/H20</f>
        <v>4.22073622881356</v>
      </c>
      <c r="M72" s="26"/>
      <c r="N72" s="26"/>
      <c r="O72" s="26"/>
    </row>
    <row r="73" spans="1:15" ht="13.5" thickBot="1">
      <c r="A73" s="77"/>
      <c r="B73" s="220" t="s">
        <v>9</v>
      </c>
      <c r="C73" s="220"/>
      <c r="D73" s="111">
        <f aca="true" t="shared" si="2" ref="D73:I73">SUM(D68:D72)</f>
        <v>143546</v>
      </c>
      <c r="E73" s="111">
        <f t="shared" si="2"/>
        <v>256583.52542372883</v>
      </c>
      <c r="F73" s="111">
        <f t="shared" si="2"/>
        <v>369621.05084745766</v>
      </c>
      <c r="G73" s="112">
        <f t="shared" si="2"/>
        <v>101.95028409090911</v>
      </c>
      <c r="H73" s="112">
        <f t="shared" si="2"/>
        <v>91.1163087442219</v>
      </c>
      <c r="I73" s="95">
        <f t="shared" si="2"/>
        <v>87.50498362865947</v>
      </c>
      <c r="M73" s="26"/>
      <c r="N73" s="26"/>
      <c r="O73" s="26"/>
    </row>
    <row r="74" spans="1:15" ht="25.5" customHeight="1">
      <c r="A74" s="14"/>
      <c r="B74" s="15"/>
      <c r="C74" s="15"/>
      <c r="D74" s="21"/>
      <c r="E74" s="21"/>
      <c r="F74" s="21"/>
      <c r="G74" s="21"/>
      <c r="H74" s="21"/>
      <c r="I74" s="21"/>
      <c r="J74" s="52"/>
      <c r="K74" s="52"/>
      <c r="L74" s="52"/>
      <c r="M74" s="52"/>
      <c r="N74" s="52"/>
      <c r="O74" s="52"/>
    </row>
    <row r="75" spans="1:15" ht="13.5" thickBot="1">
      <c r="A75" s="4"/>
      <c r="B75" s="221" t="s">
        <v>65</v>
      </c>
      <c r="C75" s="221"/>
      <c r="D75" s="221"/>
      <c r="E75" s="221"/>
      <c r="F75" s="221"/>
      <c r="G75" s="27"/>
      <c r="H75" s="4"/>
      <c r="I75" s="4"/>
      <c r="J75" s="52"/>
      <c r="K75" s="52"/>
      <c r="L75" s="52"/>
      <c r="M75" s="52"/>
      <c r="N75" s="52"/>
      <c r="O75" s="52"/>
    </row>
    <row r="76" spans="1:15" ht="13.5" thickBot="1">
      <c r="A76" s="125"/>
      <c r="B76" s="222" t="s">
        <v>27</v>
      </c>
      <c r="C76" s="222"/>
      <c r="D76" s="223"/>
      <c r="E76" s="121" t="s">
        <v>51</v>
      </c>
      <c r="F76" s="121" t="s">
        <v>52</v>
      </c>
      <c r="G76" s="120" t="s">
        <v>53</v>
      </c>
      <c r="H76" s="4"/>
      <c r="I76" s="4"/>
      <c r="J76" s="52"/>
      <c r="K76" s="52"/>
      <c r="L76" s="52"/>
      <c r="M76" s="52"/>
      <c r="N76" s="52"/>
      <c r="O76" s="52"/>
    </row>
    <row r="77" spans="1:15" ht="12.75">
      <c r="A77" s="73">
        <v>1</v>
      </c>
      <c r="B77" s="74" t="s">
        <v>38</v>
      </c>
      <c r="C77" s="74"/>
      <c r="D77" s="74"/>
      <c r="E77" s="122">
        <f>H63+G73</f>
        <v>902.7977417180279</v>
      </c>
      <c r="F77" s="122">
        <f>H63+H73</f>
        <v>891.9637663713406</v>
      </c>
      <c r="G77" s="123">
        <f>H63+I73</f>
        <v>888.3524412557782</v>
      </c>
      <c r="J77" s="52"/>
      <c r="K77" s="52"/>
      <c r="L77" s="52"/>
      <c r="M77" s="52"/>
      <c r="N77" s="52"/>
      <c r="O77" s="52"/>
    </row>
    <row r="78" spans="1:15" ht="27" customHeight="1">
      <c r="A78" s="73">
        <v>2</v>
      </c>
      <c r="B78" s="213" t="s">
        <v>89</v>
      </c>
      <c r="C78" s="214"/>
      <c r="D78" s="215"/>
      <c r="E78" s="132">
        <f>1500/1.18</f>
        <v>1271.1864406779662</v>
      </c>
      <c r="F78" s="132">
        <f>E78</f>
        <v>1271.1864406779662</v>
      </c>
      <c r="G78" s="134">
        <f>E78</f>
        <v>1271.1864406779662</v>
      </c>
      <c r="J78" s="52"/>
      <c r="K78" s="52"/>
      <c r="L78" s="52"/>
      <c r="M78" s="52"/>
      <c r="N78" s="52"/>
      <c r="O78" s="52"/>
    </row>
    <row r="79" spans="1:15" ht="26.25" customHeight="1">
      <c r="A79" s="73">
        <v>3</v>
      </c>
      <c r="B79" s="216" t="s">
        <v>74</v>
      </c>
      <c r="C79" s="217"/>
      <c r="D79" s="218"/>
      <c r="E79" s="124">
        <f>E78-E77</f>
        <v>368.3886989599383</v>
      </c>
      <c r="F79" s="124">
        <f>F78-F77</f>
        <v>379.22267430662555</v>
      </c>
      <c r="G79" s="135">
        <f>G78-G77</f>
        <v>382.83399942218796</v>
      </c>
      <c r="J79" s="52"/>
      <c r="K79" s="52"/>
      <c r="L79" s="52"/>
      <c r="M79" s="52"/>
      <c r="N79" s="52"/>
      <c r="O79" s="52"/>
    </row>
    <row r="80" spans="1:15" ht="12.75">
      <c r="A80" s="73">
        <v>4</v>
      </c>
      <c r="B80" s="219" t="s">
        <v>63</v>
      </c>
      <c r="C80" s="219"/>
      <c r="D80" s="219"/>
      <c r="E80" s="124">
        <f>E79*0.24</f>
        <v>88.4132877503852</v>
      </c>
      <c r="F80" s="124">
        <f>F79*0.24</f>
        <v>91.01344183359012</v>
      </c>
      <c r="G80" s="135">
        <f>G79*0.24</f>
        <v>91.88015986132511</v>
      </c>
      <c r="H80" s="4"/>
      <c r="I80" s="4"/>
      <c r="J80" s="52"/>
      <c r="K80" s="52"/>
      <c r="L80" s="52"/>
      <c r="M80" s="52"/>
      <c r="N80" s="52"/>
      <c r="O80" s="52"/>
    </row>
    <row r="81" spans="1:15" ht="12.75">
      <c r="A81" s="73">
        <v>5</v>
      </c>
      <c r="B81" s="219" t="s">
        <v>78</v>
      </c>
      <c r="C81" s="219"/>
      <c r="D81" s="219"/>
      <c r="E81" s="126">
        <f>E79-E80</f>
        <v>279.97541120955316</v>
      </c>
      <c r="F81" s="126">
        <f>F79-F80</f>
        <v>288.2092324730354</v>
      </c>
      <c r="G81" s="136">
        <f>G79-G80</f>
        <v>290.95383956086283</v>
      </c>
      <c r="J81" s="52"/>
      <c r="K81" s="52"/>
      <c r="L81" s="52"/>
      <c r="M81" s="52"/>
      <c r="N81" s="52"/>
      <c r="O81" s="52"/>
    </row>
    <row r="82" spans="1:15" ht="13.5" thickBot="1">
      <c r="A82" s="139">
        <v>6</v>
      </c>
      <c r="B82" s="315" t="s">
        <v>34</v>
      </c>
      <c r="C82" s="315"/>
      <c r="D82" s="315"/>
      <c r="E82" s="142">
        <f>E81*F22</f>
        <v>17918.426317411402</v>
      </c>
      <c r="F82" s="142">
        <f>F81*G22</f>
        <v>36890.78175654853</v>
      </c>
      <c r="G82" s="143">
        <f>G81*H22</f>
        <v>55863.13719568566</v>
      </c>
      <c r="J82" s="52"/>
      <c r="K82" s="52"/>
      <c r="L82" s="52"/>
      <c r="M82" s="52"/>
      <c r="N82" s="52"/>
      <c r="O82" s="52"/>
    </row>
    <row r="83" spans="1:15" ht="12.75">
      <c r="A83" s="99">
        <v>7</v>
      </c>
      <c r="B83" s="314" t="s">
        <v>39</v>
      </c>
      <c r="C83" s="314"/>
      <c r="D83" s="314"/>
      <c r="E83" s="140">
        <f>E81/E77*100</f>
        <v>31.011975138169795</v>
      </c>
      <c r="F83" s="140">
        <f>F81/F77*100</f>
        <v>32.31176459616955</v>
      </c>
      <c r="G83" s="141">
        <f>G81/G77*100</f>
        <v>32.7520729441087</v>
      </c>
      <c r="J83" s="52"/>
      <c r="K83" s="52"/>
      <c r="L83" s="52"/>
      <c r="M83" s="52"/>
      <c r="N83" s="52"/>
      <c r="O83" s="52"/>
    </row>
    <row r="84" spans="1:15" ht="16.5" thickBot="1">
      <c r="A84" s="190">
        <v>8</v>
      </c>
      <c r="B84" s="184" t="s">
        <v>28</v>
      </c>
      <c r="C84" s="184"/>
      <c r="D84" s="184"/>
      <c r="E84" s="185">
        <f>E31/E82</f>
        <v>79.59801609669064</v>
      </c>
      <c r="F84" s="185">
        <f>E31/F82</f>
        <v>38.661994095245724</v>
      </c>
      <c r="G84" s="186">
        <f>E31/G82</f>
        <v>25.531526835747236</v>
      </c>
      <c r="J84" s="52"/>
      <c r="K84" s="52"/>
      <c r="L84" s="52"/>
      <c r="M84" s="52"/>
      <c r="N84" s="52"/>
      <c r="O84" s="52"/>
    </row>
    <row r="85" spans="4:15" ht="12.75">
      <c r="D85" s="26"/>
      <c r="E85" s="26"/>
      <c r="F85" s="26"/>
      <c r="G85" s="26"/>
      <c r="J85" s="52"/>
      <c r="K85" s="52"/>
      <c r="L85" s="52"/>
      <c r="M85" s="52"/>
      <c r="N85" s="52"/>
      <c r="O85" s="52"/>
    </row>
    <row r="86" spans="2:9" ht="12.75">
      <c r="B86" s="22" t="s">
        <v>30</v>
      </c>
      <c r="C86" s="192" t="s">
        <v>120</v>
      </c>
      <c r="H86" s="4"/>
      <c r="I86" s="4"/>
    </row>
    <row r="87" spans="2:3" ht="12.75">
      <c r="B87" s="22" t="s">
        <v>29</v>
      </c>
      <c r="C87" s="192" t="s">
        <v>129</v>
      </c>
    </row>
    <row r="88" spans="2:3" ht="12.75">
      <c r="B88" s="22" t="s">
        <v>82</v>
      </c>
      <c r="C88" s="1" t="s">
        <v>84</v>
      </c>
    </row>
    <row r="89" spans="2:3" ht="12.75">
      <c r="B89" s="22" t="s">
        <v>83</v>
      </c>
      <c r="C89" s="1" t="s">
        <v>85</v>
      </c>
    </row>
    <row r="90" ht="12.75">
      <c r="B90" s="191" t="s">
        <v>123</v>
      </c>
    </row>
    <row r="91" ht="12.75">
      <c r="B91" s="191" t="s">
        <v>124</v>
      </c>
    </row>
    <row r="93" ht="12.75">
      <c r="B93" s="191"/>
    </row>
  </sheetData>
  <mergeCells count="78">
    <mergeCell ref="B11:H11"/>
    <mergeCell ref="B83:D83"/>
    <mergeCell ref="B81:D81"/>
    <mergeCell ref="B80:D80"/>
    <mergeCell ref="B72:C72"/>
    <mergeCell ref="B73:C73"/>
    <mergeCell ref="B76:D76"/>
    <mergeCell ref="B82:D82"/>
    <mergeCell ref="B75:F75"/>
    <mergeCell ref="B79:D79"/>
    <mergeCell ref="B78:D78"/>
    <mergeCell ref="B63:D63"/>
    <mergeCell ref="A66:C67"/>
    <mergeCell ref="D66:F66"/>
    <mergeCell ref="B68:C68"/>
    <mergeCell ref="B69:C69"/>
    <mergeCell ref="B70:C70"/>
    <mergeCell ref="B71:C71"/>
    <mergeCell ref="G66:I66"/>
    <mergeCell ref="B65:H65"/>
    <mergeCell ref="A60:A61"/>
    <mergeCell ref="B60:D61"/>
    <mergeCell ref="G61:H61"/>
    <mergeCell ref="B62:D62"/>
    <mergeCell ref="F56:I56"/>
    <mergeCell ref="B25:E25"/>
    <mergeCell ref="F25:H25"/>
    <mergeCell ref="B26:E26"/>
    <mergeCell ref="B40:D40"/>
    <mergeCell ref="B53:G53"/>
    <mergeCell ref="F54:I54"/>
    <mergeCell ref="B41:D41"/>
    <mergeCell ref="B42:D42"/>
    <mergeCell ref="B43:D43"/>
    <mergeCell ref="F57:I57"/>
    <mergeCell ref="F55:I55"/>
    <mergeCell ref="B19:E19"/>
    <mergeCell ref="B20:E20"/>
    <mergeCell ref="B23:E23"/>
    <mergeCell ref="B24:E24"/>
    <mergeCell ref="B47:E47"/>
    <mergeCell ref="B50:E50"/>
    <mergeCell ref="B38:D38"/>
    <mergeCell ref="B39:D39"/>
    <mergeCell ref="F14:H14"/>
    <mergeCell ref="B21:E21"/>
    <mergeCell ref="B22:E22"/>
    <mergeCell ref="F21:H21"/>
    <mergeCell ref="F16:H16"/>
    <mergeCell ref="F17:H17"/>
    <mergeCell ref="B14:E14"/>
    <mergeCell ref="B15:E15"/>
    <mergeCell ref="B17:E17"/>
    <mergeCell ref="B18:E18"/>
    <mergeCell ref="B49:E49"/>
    <mergeCell ref="B48:E48"/>
    <mergeCell ref="B46:E46"/>
    <mergeCell ref="B54:C54"/>
    <mergeCell ref="B56:C56"/>
    <mergeCell ref="B57:C57"/>
    <mergeCell ref="B55:C55"/>
    <mergeCell ref="F29:I29"/>
    <mergeCell ref="B36:D36"/>
    <mergeCell ref="A34:D34"/>
    <mergeCell ref="B35:D35"/>
    <mergeCell ref="A29:A30"/>
    <mergeCell ref="B29:D30"/>
    <mergeCell ref="E29:E30"/>
    <mergeCell ref="B28:E28"/>
    <mergeCell ref="A6:I7"/>
    <mergeCell ref="B13:D13"/>
    <mergeCell ref="C9:F9"/>
    <mergeCell ref="A8:I8"/>
    <mergeCell ref="F18:H18"/>
    <mergeCell ref="F19:H19"/>
    <mergeCell ref="F26:H26"/>
    <mergeCell ref="B16:E16"/>
    <mergeCell ref="F15:H15"/>
  </mergeCells>
  <hyperlinks>
    <hyperlink ref="C86" r:id="rId1" display="www.penolider.ru"/>
    <hyperlink ref="C87" r:id="rId2" display="penolider@v-s-d.ru"/>
  </hyperlink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r:id="rId4"/>
  <headerFooter alignWithMargins="0">
    <oddFooter>&amp;CСтраница &amp;P из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</cp:lastModifiedBy>
  <cp:lastPrinted>2006-09-27T12:50:27Z</cp:lastPrinted>
  <dcterms:created xsi:type="dcterms:W3CDTF">2001-08-07T14:00:42Z</dcterms:created>
  <dcterms:modified xsi:type="dcterms:W3CDTF">2011-05-20T06:45:52Z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